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<sst xmlns="http://schemas.openxmlformats.org/spreadsheetml/2006/main" count="2861" uniqueCount="2079">
  <si>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</si>
  <si>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</si>
  <si>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</si>
  <si>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</si>
  <si>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</si>
  <si>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</si>
  <si>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</si>
  <si>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</si>
  <si>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</si>
  <si>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</si>
  <si>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</si>
  <si>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</si>
  <si>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</si>
  <si>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</si>
  <si>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</si>
  <si>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</si>
  <si>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</si>
  <si>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</si>
  <si>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</si>
  <si>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</si>
  <si>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</si>
  <si>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</si>
  <si>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</si>
  <si>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</si>
  <si>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</si>
  <si>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</si>
  <si>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</si>
  <si>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</si>
  <si>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</si>
  <si>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</si>
  <si>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</si>
  <si>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</si>
  <si>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</si>
  <si>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</si>
  <si>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</si>
  <si>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</si>
  <si>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</si>
  <si>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</si>
  <si>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</si>
  <si>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</si>
  <si>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</si>
  <si>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</si>
  <si>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</si>
  <si>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</si>
  <si>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</si>
  <si>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</si>
  <si>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</si>
  <si>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</si>
  <si>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</si>
  <si>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</si>
  <si>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</si>
  <si>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</si>
  <si>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</si>
  <si>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</si>
  <si>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</si>
  <si>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</si>
  <si>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</si>
  <si>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</si>
  <si>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</si>
  <si>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</si>
  <si>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</si>
  <si>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</si>
  <si>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</si>
  <si>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</si>
  <si>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</si>
  <si>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</si>
  <si>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</si>
  <si>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</si>
  <si>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</si>
  <si>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</si>
  <si>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</si>
  <si>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</si>
  <si>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</si>
  <si>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</si>
  <si>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</si>
  <si>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</si>
  <si>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</si>
  <si>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</si>
  <si>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</si>
  <si>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</si>
  <si>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</si>
  <si>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</si>
  <si>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</si>
  <si>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</si>
  <si>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</si>
  <si>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</si>
  <si>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</si>
  <si>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</si>
  <si>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</si>
  <si>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</si>
  <si>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</si>
  <si>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</si>
  <si>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</si>
  <si>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</si>
  <si>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</si>
  <si>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</si>
  <si>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</si>
  <si>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</si>
  <si>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</si>
  <si>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</si>
  <si>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</si>
  <si>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</si>
  <si>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</si>
  <si>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</si>
  <si>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</si>
  <si>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</si>
  <si>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</si>
  <si>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</si>
  <si>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</si>
  <si>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</si>
  <si>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</si>
  <si>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</si>
  <si>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</si>
  <si>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</si>
  <si>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</si>
  <si>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</si>
  <si>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</si>
  <si>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</si>
  <si>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</si>
  <si>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</si>
  <si>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</si>
  <si>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</si>
  <si>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</si>
  <si>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</si>
  <si>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</si>
  <si>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</si>
  <si>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</si>
  <si>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</si>
  <si>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</si>
  <si>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</si>
  <si>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</si>
  <si>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</si>
  <si>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</si>
  <si>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</si>
  <si>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</si>
  <si>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</si>
  <si>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</si>
  <si>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</si>
  <si>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</si>
  <si>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</si>
  <si>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</si>
  <si>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</si>
  <si>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</si>
  <si>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</si>
  <si>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</si>
  <si>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</si>
  <si>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</si>
  <si>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</si>
  <si>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</si>
  <si>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</si>
  <si>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</si>
  <si>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</si>
  <si>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</si>
  <si>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</si>
  <si>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</si>
  <si>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</si>
  <si>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</si>
  <si>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</si>
  <si>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</si>
  <si>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</si>
  <si>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</si>
  <si>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</si>
  <si>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</si>
  <si>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</si>
  <si>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</si>
  <si>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</si>
  <si>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</si>
  <si>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</si>
  <si>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</si>
  <si>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</si>
  <si>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</si>
  <si>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</si>
  <si>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</si>
  <si>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</si>
  <si>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</si>
  <si>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</si>
  <si>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</si>
  <si>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</si>
  <si>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</si>
  <si>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</si>
  <si>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</si>
  <si>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</si>
  <si>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</si>
  <si>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</si>
  <si>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</si>
  <si>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</si>
  <si>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</si>
  <si>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</si>
  <si>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</si>
  <si>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</si>
  <si>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</si>
  <si>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</si>
  <si>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</si>
  <si>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</si>
  <si>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</si>
  <si>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</si>
  <si>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</si>
  <si>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</si>
  <si>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</si>
  <si>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</si>
  <si>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</si>
  <si>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</si>
  <si>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</si>
  <si>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</si>
  <si>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</si>
  <si>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</si>
  <si>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</si>
  <si>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</si>
  <si>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</si>
  <si>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</si>
  <si>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</si>
  <si>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</si>
  <si>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</si>
  <si>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</si>
  <si>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</si>
  <si>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</si>
  <si>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</si>
  <si>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</si>
  <si>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</si>
  <si>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</si>
  <si>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</si>
  <si>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</si>
  <si>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</si>
  <si>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</si>
  <si>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</si>
  <si>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</si>
  <si>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</si>
  <si>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</si>
  <si>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</si>
  <si>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</si>
  <si>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</si>
  <si>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</si>
  <si>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</si>
  <si>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</si>
  <si>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</si>
  <si>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</si>
  <si>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</si>
  <si>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</si>
  <si>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</si>
  <si>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</si>
  <si>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</si>
  <si>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</si>
  <si>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</si>
  <si>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</si>
  <si>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</si>
  <si>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</si>
  <si>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</si>
  <si>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</si>
  <si>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</si>
  <si>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</si>
  <si>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</si>
  <si>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</si>
  <si>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</si>
  <si>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</si>
  <si>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</si>
  <si>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</si>
  <si>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</si>
  <si>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</si>
  <si>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</si>
  <si>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</si>
  <si>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</si>
  <si>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</si>
  <si>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</si>
  <si>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</si>
  <si>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</si>
  <si>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</si>
  <si>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</si>
  <si>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</si>
  <si>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</si>
  <si>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</si>
  <si>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</si>
  <si>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</si>
  <si>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</si>
  <si>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</si>
  <si>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</si>
  <si>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</si>
  <si>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</si>
  <si>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</si>
  <si>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</si>
  <si>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</si>
  <si>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</si>
  <si>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</si>
  <si>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</si>
  <si>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</si>
  <si>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</si>
  <si>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</si>
  <si>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</si>
  <si>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</si>
  <si>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</si>
  <si>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</si>
  <si>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</si>
  <si>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</si>
  <si>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</si>
  <si>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</si>
  <si>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</si>
  <si>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</si>
  <si>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</si>
  <si>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</si>
  <si>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</si>
  <si>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</si>
  <si>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</si>
  <si>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</si>
  <si>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</si>
  <si>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</si>
  <si>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</si>
  <si>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</si>
  <si>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</si>
  <si>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</si>
  <si>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</si>
  <si>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</si>
  <si>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</si>
  <si>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</si>
  <si>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</si>
  <si>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</si>
  <si>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</si>
  <si>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</si>
  <si>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</si>
  <si>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</si>
  <si>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</si>
  <si>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</si>
  <si>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</si>
  <si>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</si>
  <si>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</si>
  <si>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</si>
  <si>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</si>
  <si>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</si>
  <si>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</si>
  <si>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</si>
  <si>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</si>
  <si>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</si>
  <si>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</si>
  <si>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</si>
  <si>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</si>
  <si>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</si>
  <si>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</si>
  <si>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</si>
  <si>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</si>
  <si>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</si>
  <si>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</si>
  <si>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</si>
  <si>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</si>
  <si>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</si>
  <si>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</si>
  <si>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</si>
  <si>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</si>
  <si>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</si>
  <si>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</si>
  <si>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</si>
  <si>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</si>
  <si>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</si>
  <si>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</si>
  <si>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</si>
  <si>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</si>
  <si>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</si>
  <si>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</si>
  <si>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</si>
  <si>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</si>
  <si>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</si>
  <si>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</si>
  <si>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</si>
  <si>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</si>
  <si>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</si>
  <si>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</si>
  <si>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</si>
  <si>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</si>
  <si>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</si>
  <si>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</si>
  <si>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</si>
  <si>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</si>
  <si>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</si>
  <si>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</si>
  <si>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</si>
  <si>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</si>
  <si>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</si>
  <si>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</si>
  <si>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</si>
  <si>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</si>
  <si>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</si>
  <si>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</si>
  <si>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</si>
  <si>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</si>
  <si>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</si>
  <si>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</si>
  <si>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</si>
  <si>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</si>
  <si>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</si>
  <si>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</si>
  <si>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</si>
  <si>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</si>
  <si>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</si>
  <si>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</si>
  <si>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</si>
  <si>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</si>
  <si>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</si>
  <si>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</si>
  <si>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</si>
  <si>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</si>
  <si>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</si>
  <si>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</si>
  <si>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</si>
  <si>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</si>
  <si>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</si>
  <si>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</si>
  <si>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</si>
  <si>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</si>
  <si>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</si>
  <si>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</si>
  <si>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</si>
  <si>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</si>
  <si>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</si>
  <si>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</si>
  <si>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</si>
  <si>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</si>
  <si>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</si>
  <si>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</si>
  <si>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</si>
  <si>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</si>
  <si>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</si>
  <si>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</si>
  <si>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</si>
  <si>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</si>
  <si>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</si>
  <si>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</si>
  <si>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</si>
  <si>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</si>
  <si>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</si>
  <si>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</si>
  <si>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</si>
  <si>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</si>
  <si>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</si>
  <si>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</si>
  <si>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</si>
  <si>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</si>
  <si>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</si>
  <si>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</si>
  <si>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</si>
  <si>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</si>
  <si>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</si>
  <si>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</si>
  <si>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</si>
  <si>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</si>
  <si>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</si>
  <si>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</si>
  <si>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</si>
  <si>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</si>
  <si>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</si>
  <si>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</si>
  <si>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</si>
  <si>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</si>
  <si>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</si>
  <si>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</si>
  <si>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</si>
  <si>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</si>
  <si>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</si>
  <si>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</si>
  <si>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</si>
  <si>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</si>
  <si>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</si>
  <si>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</si>
  <si>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</si>
  <si>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</si>
  <si>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</si>
  <si>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</si>
  <si>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</si>
  <si>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</si>
  <si>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</si>
  <si>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</si>
  <si>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</si>
  <si>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</si>
  <si>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</si>
  <si>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</si>
  <si>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</si>
  <si>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</si>
  <si>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</si>
  <si>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</si>
  <si>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</si>
  <si>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</si>
  <si>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</si>
  <si>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</si>
  <si>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</si>
  <si>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</si>
  <si>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</si>
  <si>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</si>
  <si>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</si>
  <si>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</si>
  <si>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</si>
  <si>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</si>
  <si>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</si>
  <si>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</si>
  <si>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</si>
  <si>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</si>
  <si>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</si>
  <si>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</si>
  <si>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</si>
  <si>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</si>
  <si>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</si>
  <si>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</si>
  <si>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</si>
  <si>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</si>
  <si>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</si>
  <si>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</si>
  <si>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</si>
  <si>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</si>
  <si>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</si>
  <si>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</si>
  <si>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</si>
  <si>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</si>
  <si>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</si>
  <si>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</si>
  <si>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</si>
  <si>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</si>
  <si>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</si>
  <si>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</si>
  <si>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</si>
  <si>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</si>
  <si>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</si>
  <si>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</si>
  <si>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</si>
  <si>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</si>
  <si>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</si>
  <si>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</si>
  <si>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</si>
  <si>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</si>
  <si>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</si>
  <si>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</si>
  <si>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</si>
  <si>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</si>
  <si>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</si>
  <si>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</si>
  <si>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</si>
  <si>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</si>
  <si>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</si>
  <si>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</si>
  <si>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</si>
  <si>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</si>
  <si>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</si>
  <si>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</si>
  <si>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</si>
  <si>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</si>
  <si>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</si>
  <si>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</si>
  <si>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</si>
  <si>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</si>
  <si>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</si>
  <si>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</si>
  <si>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</si>
  <si>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</si>
  <si>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</si>
  <si>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</si>
  <si>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</si>
  <si>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</si>
  <si>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</si>
  <si>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</si>
  <si>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</si>
  <si>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</si>
  <si>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</si>
  <si>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</si>
  <si>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</si>
  <si>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</si>
  <si>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</si>
  <si>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</si>
  <si>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</si>
  <si>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</si>
  <si>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</si>
  <si>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</si>
  <si>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</si>
  <si>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</si>
  <si>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</si>
  <si>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</si>
  <si>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</si>
  <si>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</si>
  <si>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</si>
  <si>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</si>
  <si>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</si>
  <si>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</si>
  <si>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</si>
  <si>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</si>
  <si>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</si>
  <si>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</si>
  <si>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</si>
  <si>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</si>
  <si>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</si>
  <si>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</si>
  <si>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</si>
  <si>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</si>
  <si>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</si>
  <si>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</si>
  <si>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</si>
  <si>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</si>
  <si>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</si>
  <si>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</si>
  <si>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</si>
  <si>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</si>
  <si>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</si>
  <si>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</si>
  <si>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</si>
  <si>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</si>
  <si>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</si>
  <si>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</si>
  <si>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</si>
  <si>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</si>
  <si>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</si>
  <si>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</si>
  <si>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</si>
  <si>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</si>
  <si>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</si>
  <si>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</si>
  <si>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</si>
  <si>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</si>
  <si>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</si>
  <si>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</si>
  <si>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</si>
  <si>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</si>
  <si>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</si>
  <si>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</si>
  <si>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</si>
  <si>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</si>
  <si>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</si>
  <si>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</si>
  <si>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</si>
  <si>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</si>
  <si>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</si>
  <si>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</si>
  <si>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</si>
  <si>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</si>
  <si>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</si>
  <si>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</si>
  <si>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</si>
  <si>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</si>
  <si>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</si>
  <si>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</si>
  <si>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</si>
  <si>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</si>
  <si>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</si>
  <si>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</si>
  <si>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</si>
  <si>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</si>
  <si>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</si>
  <si>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</si>
  <si>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</si>
  <si>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</si>
  <si>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</si>
  <si>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</si>
  <si>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</si>
  <si>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</si>
  <si>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</si>
  <si>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</si>
  <si>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</si>
  <si>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</si>
  <si>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</si>
  <si>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</si>
  <si>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</si>
  <si>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</si>
  <si>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</si>
  <si>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</si>
  <si>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</si>
  <si>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</si>
  <si>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</si>
  <si>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</si>
  <si>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</si>
  <si>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</si>
  <si>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</si>
  <si>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</si>
  <si>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</si>
  <si>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</si>
  <si>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</si>
  <si>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</si>
  <si>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</si>
  <si>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</si>
  <si>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</si>
  <si>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</si>
  <si>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</si>
  <si>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</si>
  <si>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</si>
  <si>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</si>
  <si>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</si>
  <si>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</si>
  <si>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</si>
  <si>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</si>
  <si>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</si>
  <si>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</si>
  <si>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</si>
  <si>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</si>
  <si>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</si>
  <si>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</si>
  <si>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</si>
  <si>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</si>
  <si>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</si>
  <si>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</si>
  <si>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</si>
  <si>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</si>
  <si>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</si>
  <si>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</si>
  <si>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</si>
  <si>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</si>
  <si>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</si>
  <si>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</si>
  <si>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</si>
  <si>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</si>
  <si>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</si>
  <si>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</si>
  <si>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</si>
  <si>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</si>
  <si>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</si>
  <si>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</si>
  <si>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</si>
  <si>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</si>
  <si>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</si>
  <si>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</si>
  <si>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</si>
  <si>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</si>
  <si>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</si>
  <si>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</si>
  <si>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</si>
  <si>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</si>
  <si>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</si>
  <si>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</si>
  <si>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</si>
  <si>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</si>
  <si>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</si>
  <si>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</si>
  <si>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</si>
  <si>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</si>
  <si>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</si>
  <si>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</si>
  <si>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</si>
  <si>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</si>
  <si>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</si>
  <si>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</si>
  <si>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</si>
  <si>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</si>
  <si>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</si>
  <si>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</si>
  <si>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</si>
  <si>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</si>
  <si>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</si>
  <si>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</si>
  <si>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</si>
  <si>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</si>
  <si>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</si>
  <si>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</si>
  <si>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</si>
  <si>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</si>
  <si>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</si>
  <si>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</si>
  <si>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</si>
  <si>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</si>
  <si>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</si>
  <si>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</si>
  <si>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</si>
  <si>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</si>
  <si>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</si>
  <si>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</si>
  <si>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</si>
  <si>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</si>
  <si>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</si>
  <si>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</si>
  <si>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</si>
  <si>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</si>
  <si>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</si>
  <si>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</si>
  <si>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</si>
  <si>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</si>
  <si>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</si>
  <si>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</si>
  <si>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</si>
  <si>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</si>
  <si>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</si>
  <si>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</si>
  <si>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</si>
  <si>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</si>
  <si>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</si>
  <si>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</si>
  <si>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</si>
  <si>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</si>
  <si>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</si>
  <si>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</si>
  <si>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</si>
  <si>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</si>
  <si>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</si>
  <si>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</si>
  <si>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</si>
  <si>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</si>
  <si>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</si>
  <si>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</si>
  <si>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</si>
  <si>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</si>
  <si>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</si>
  <si>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</si>
  <si>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</si>
  <si>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</si>
  <si>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</si>
  <si>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</si>
  <si>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</si>
  <si>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</si>
  <si>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</si>
  <si>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</si>
  <si>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</si>
  <si>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</si>
  <si>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</si>
  <si>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</si>
  <si>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</si>
  <si>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</si>
  <si>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</si>
  <si>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</si>
  <si>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</si>
  <si>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</si>
  <si>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</si>
  <si>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</si>
  <si>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</si>
  <si>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</si>
  <si>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</si>
  <si>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</si>
  <si>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</si>
  <si>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</si>
  <si>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</si>
  <si>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</si>
  <si>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</si>
  <si>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</si>
  <si>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</si>
  <si>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</si>
  <si>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</si>
  <si>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</si>
  <si>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</si>
  <si>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</si>
  <si>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</si>
  <si>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</si>
  <si>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</si>
  <si>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</si>
  <si>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</si>
  <si>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</si>
  <si>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</si>
  <si>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</si>
  <si>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</si>
  <si>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</si>
  <si>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</si>
  <si>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</si>
  <si>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</si>
  <si>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</si>
  <si>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</si>
  <si>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</si>
  <si>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</si>
  <si>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</si>
  <si>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</si>
  <si>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</si>
  <si>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</si>
  <si>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</si>
  <si>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</si>
  <si>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</si>
  <si>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</si>
  <si>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</si>
  <si>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</si>
  <si>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</si>
  <si>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</si>
  <si>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</si>
  <si>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</si>
  <si>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</si>
  <si>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</si>
  <si>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</si>
  <si>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</si>
  <si>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</si>
  <si>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</si>
  <si>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</si>
  <si>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</si>
  <si>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</si>
  <si>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</si>
  <si>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</si>
  <si>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</si>
  <si>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</si>
  <si>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</si>
  <si>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</si>
  <si>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</si>
  <si>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</si>
  <si>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</si>
  <si>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</si>
  <si>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</si>
  <si>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</si>
  <si>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</si>
  <si>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</si>
  <si>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</si>
  <si>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</si>
  <si>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</si>
  <si>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</si>
  <si>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</si>
  <si>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</si>
  <si>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</si>
  <si>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</si>
  <si>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</si>
  <si>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</si>
  <si>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</si>
  <si>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</si>
  <si>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</si>
  <si>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</si>
  <si>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</si>
  <si>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</si>
  <si>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</si>
  <si>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</si>
  <si>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</si>
  <si>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</si>
  <si>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</si>
  <si>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</si>
  <si>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</si>
  <si>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</si>
  <si>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</si>
  <si>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</si>
  <si>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</si>
  <si>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</si>
  <si>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</si>
  <si>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</si>
  <si>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</si>
  <si>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</si>
  <si>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</si>
  <si>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</si>
  <si>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</si>
  <si>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</si>
  <si>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</si>
  <si>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</si>
  <si>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</si>
  <si>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</si>
  <si>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</si>
  <si>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</si>
  <si>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</si>
  <si>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</si>
  <si>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</si>
  <si>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</si>
  <si>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</si>
  <si>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</si>
  <si>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</si>
  <si>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</si>
  <si>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</si>
  <si>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</si>
  <si>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</si>
  <si>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</si>
  <si>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</si>
  <si>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</si>
  <si>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</si>
  <si>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</si>
  <si>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</si>
  <si>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</si>
  <si>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</si>
  <si>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</si>
  <si>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</si>
  <si>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</si>
  <si>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</si>
  <si>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</si>
  <si>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</si>
  <si>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</si>
  <si>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</si>
  <si>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</si>
  <si>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</si>
  <si>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</si>
  <si>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</si>
  <si>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</si>
  <si>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</si>
  <si>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</si>
  <si>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</si>
  <si>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</si>
  <si>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</si>
  <si>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</si>
  <si>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</si>
  <si>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</si>
  <si>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</si>
  <si>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</si>
  <si>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</si>
  <si>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</si>
  <si>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</si>
  <si>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</si>
  <si>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</si>
  <si>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</si>
  <si>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</si>
  <si>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</si>
  <si>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</si>
  <si>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</si>
  <si>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</si>
  <si>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</si>
  <si>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</si>
  <si>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</si>
  <si>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</si>
  <si>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</si>
  <si>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</si>
  <si>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</si>
  <si>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</si>
  <si>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</si>
  <si>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</si>
  <si>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</si>
  <si>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</si>
  <si>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</si>
  <si>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</si>
  <si>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</si>
  <si>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</si>
  <si>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</si>
  <si>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</si>
  <si>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</si>
  <si>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</si>
  <si>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</si>
  <si>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</si>
  <si>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</si>
  <si>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</si>
  <si>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</si>
  <si>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</si>
  <si>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</si>
  <si>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</si>
  <si>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</si>
  <si>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</si>
  <si>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</si>
  <si>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</si>
  <si>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</si>
  <si>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</si>
  <si>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</si>
  <si>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</si>
  <si>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</si>
  <si>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</si>
  <si>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</si>
  <si>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</si>
  <si>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</si>
  <si>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</si>
  <si>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</si>
  <si>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</si>
  <si>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</si>
  <si>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</si>
  <si>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</si>
  <si>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</si>
  <si>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</si>
  <si>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</si>
  <si>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</si>
  <si>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</si>
  <si>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</si>
  <si>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</si>
  <si>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</si>
  <si>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</si>
  <si>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</si>
  <si>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</si>
  <si>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</si>
  <si>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</si>
  <si>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</si>
  <si>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</si>
  <si>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</si>
  <si>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</si>
  <si>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</si>
  <si>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</si>
  <si>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</si>
  <si>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</si>
  <si>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</si>
  <si>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</si>
  <si>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</si>
  <si>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</si>
  <si>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</si>
  <si>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</si>
  <si>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</si>
  <si>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</si>
  <si>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</si>
  <si>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</si>
  <si>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</si>
  <si>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</si>
  <si>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</si>
  <si>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</si>
  <si>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</si>
  <si>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</si>
  <si>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</si>
  <si>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</si>
  <si>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</si>
  <si>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</si>
  <si>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</si>
  <si>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</si>
  <si>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</si>
  <si>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</si>
  <si>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</si>
  <si>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</si>
  <si>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</si>
  <si>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</si>
  <si>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</si>
  <si>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</si>
  <si>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</si>
  <si>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</si>
  <si>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</si>
  <si>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</si>
  <si>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</si>
  <si>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</si>
  <si>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</si>
  <si>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</si>
  <si>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</si>
  <si>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</si>
  <si>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</si>
  <si>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</si>
  <si>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</si>
  <si>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</si>
  <si>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</si>
  <si>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</si>
  <si>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</si>
  <si>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</si>
  <si>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</si>
  <si>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</si>
  <si>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</si>
  <si>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</si>
  <si>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</si>
  <si>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</si>
  <si>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</si>
  <si>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</si>
  <si>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</si>
  <si>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</si>
  <si>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</si>
  <si>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</si>
  <si>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</si>
  <si>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</si>
  <si>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</si>
  <si>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</si>
  <si>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</si>
  <si>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</si>
  <si>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</si>
  <si>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</si>
  <si>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</si>
  <si>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</si>
  <si>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</si>
  <si>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</si>
  <si>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</si>
  <si>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</si>
  <si>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</si>
  <si>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</si>
  <si>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</si>
  <si>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</si>
  <si>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</si>
  <si>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</si>
  <si>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</si>
  <si>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</si>
  <si>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</si>
  <si>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</si>
  <si>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</si>
  <si>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</si>
  <si>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</si>
  <si>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</si>
  <si>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</si>
  <si>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</si>
  <si>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</si>
  <si>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</si>
  <si>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</si>
  <si>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</si>
  <si>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</si>
  <si>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</si>
  <si>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</si>
  <si>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</si>
  <si>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</si>
  <si>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</si>
  <si>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</si>
  <si>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</si>
  <si>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</si>
  <si>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</si>
  <si>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</si>
  <si>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</si>
  <si>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</si>
  <si>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</si>
  <si>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</si>
  <si>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</si>
  <si>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</si>
  <si>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</si>
  <si>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</si>
  <si>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</si>
  <si>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</si>
  <si>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</si>
  <si>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</si>
  <si>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</si>
  <si>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</si>
  <si>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</si>
  <si>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</si>
  <si>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</si>
  <si>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</si>
  <si>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</si>
  <si>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</si>
  <si>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</si>
  <si>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</si>
  <si>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</si>
  <si>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</si>
  <si>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</si>
  <si>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</si>
  <si>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</si>
  <si>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</si>
  <si>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</si>
  <si>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</si>
  <si>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</si>
  <si>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</si>
  <si>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</si>
  <si>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</si>
  <si>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</si>
  <si>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</si>
  <si>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</si>
  <si>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</si>
  <si>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</si>
  <si>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</si>
  <si>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</si>
  <si>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</si>
  <si>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</si>
  <si>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</si>
  <si>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</si>
  <si>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</si>
  <si>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</si>
  <si>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</si>
  <si>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</si>
  <si>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</si>
  <si>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</si>
  <si>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</si>
  <si>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</si>
  <si>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</si>
  <si>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</si>
  <si>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</si>
  <si>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</si>
  <si>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</si>
  <si>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</si>
  <si>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</si>
  <si>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</si>
  <si>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</si>
  <si>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</si>
  <si>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</si>
  <si>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</si>
  <si>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</si>
  <si>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</si>
  <si>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</si>
  <si>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</si>
  <si>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</si>
  <si>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</si>
  <si>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</si>
  <si>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</si>
  <si>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</si>
  <si>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</si>
  <si>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</si>
  <si>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</si>
  <si>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</si>
  <si>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</si>
  <si>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</si>
  <si>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</si>
  <si>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</si>
  <si>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</si>
  <si>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</si>
  <si>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</si>
  <si>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</si>
  <si>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</si>
  <si>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</si>
  <si>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</si>
  <si>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</si>
  <si>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</si>
  <si>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</si>
  <si>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</si>
  <si>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</si>
  <si>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</si>
  <si>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</si>
  <si>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</si>
  <si>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</si>
  <si>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</si>
  <si>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</si>
  <si>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</si>
  <si>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</si>
  <si>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</si>
  <si>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</si>
  <si>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</si>
  <si>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</si>
  <si>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</si>
  <si>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</si>
  <si>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</si>
  <si>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</si>
  <si>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</si>
  <si>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</si>
  <si>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</si>
  <si>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</si>
  <si>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</si>
  <si>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</si>
  <si>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</si>
  <si>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</si>
  <si>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</si>
  <si>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</si>
  <si>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</si>
  <si>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</si>
  <si>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</si>
  <si>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</si>
  <si>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</si>
  <si>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</si>
  <si>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</si>
  <si>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</si>
  <si>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</si>
  <si>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</si>
  <si>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</si>
  <si>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</si>
  <si>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</si>
  <si>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</si>
  <si>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</si>
  <si>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</si>
  <si>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</si>
  <si>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</si>
  <si>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</si>
  <si>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</si>
  <si>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</si>
  <si>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</si>
  <si>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</si>
  <si>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</si>
  <si>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</si>
  <si>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</si>
  <si>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</si>
  <si>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</si>
  <si>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</si>
  <si>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</si>
  <si>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</si>
  <si>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</si>
  <si>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</si>
  <si>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</si>
  <si>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</si>
  <si>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</si>
  <si>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</si>
  <si>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</si>
  <si>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</si>
  <si>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</si>
  <si>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</si>
  <si>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</si>
  <si>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</si>
  <si>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</si>
  <si>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</si>
  <si>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</si>
  <si>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</si>
  <si>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</si>
  <si>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</si>
  <si>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</si>
  <si>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</si>
  <si>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</si>
  <si>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</si>
  <si>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</si>
  <si>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</si>
  <si>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</si>
  <si>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</si>
  <si>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</si>
  <si>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</si>
  <si>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</si>
  <si>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</si>
  <si>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</si>
  <si>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</si>
  <si>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</si>
  <si>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</si>
  <si>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</si>
  <si>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</si>
  <si>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</si>
  <si>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</si>
  <si>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</si>
  <si>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</si>
  <si>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</si>
  <si>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</si>
  <si>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</si>
  <si>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</si>
  <si>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</si>
  <si>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</si>
  <si>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</si>
  <si>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</si>
  <si>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</si>
  <si>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</si>
  <si>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</si>
  <si>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</si>
  <si>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</si>
  <si>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</si>
  <si>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</si>
  <si>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</si>
  <si>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</si>
  <si>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</si>
  <si>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</si>
  <si>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</si>
  <si>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</si>
  <si>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</si>
  <si>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</si>
  <si>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</si>
  <si>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</si>
  <si>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</si>
  <si>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</si>
  <si>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</si>
  <si>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</si>
  <si>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</si>
  <si>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</si>
  <si>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</si>
  <si>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</si>
  <si>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</si>
  <si>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</si>
  <si>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</si>
  <si>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</si>
  <si>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</si>
  <si>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</si>
  <si>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</si>
  <si>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</si>
  <si>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</si>
  <si>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</si>
  <si>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</si>
  <si>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</si>
  <si>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</si>
  <si>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</si>
  <si>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</si>
  <si>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</si>
  <si>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</si>
  <si>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</si>
  <si>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</si>
  <si>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</si>
  <si>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</si>
  <si>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</si>
  <si>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</si>
  <si>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</si>
  <si>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</si>
  <si>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</si>
  <si>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</si>
  <si>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</si>
  <si>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</si>
  <si>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</si>
  <si>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</si>
  <si>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</si>
  <si>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</si>
  <si>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</si>
  <si>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</si>
  <si>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</si>
  <si>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</si>
  <si>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</si>
  <si>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</si>
  <si>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</si>
  <si>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</si>
  <si>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</si>
  <si>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</si>
  <si>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</si>
  <si>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</si>
  <si>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</si>
  <si>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</si>
  <si>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</si>
  <si>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</si>
  <si>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</si>
  <si>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</si>
  <si>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</si>
  <si>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</si>
  <si>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</si>
  <si>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</si>
  <si>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</si>
  <si>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</si>
  <si>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</si>
  <si>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</si>
  <si>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</si>
  <si>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</si>
  <si>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</si>
  <si>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</si>
  <si>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</si>
  <si>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</si>
  <si>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</si>
  <si>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</si>
  <si>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</si>
  <si>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</si>
  <si>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</si>
  <si>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</si>
  <si>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</si>
  <si>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</si>
  <si>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</si>
  <si>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</si>
  <si>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</si>
  <si>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</si>
  <si>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</si>
  <si>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</si>
  <si>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</si>
  <si>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</si>
  <si>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</si>
  <si>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</si>
  <si>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</si>
  <si>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</si>
  <si>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</si>
  <si>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</si>
  <si>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</si>
  <si>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</si>
  <si>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</si>
  <si>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</si>
  <si>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</si>
  <si>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</si>
  <si>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</si>
  <si>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</si>
  <si>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</si>
  <si>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</si>
  <si>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</si>
  <si>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</si>
  <si>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</si>
  <si>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</si>
  <si>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</si>
  <si>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</si>
  <si>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</si>
  <si>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</si>
  <si>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</si>
  <si>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</si>
  <si>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</si>
  <si>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</si>
  <si>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</si>
  <si>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</si>
  <si>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</si>
  <si>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</si>
  <si>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</si>
  <si>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</si>
  <si>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</si>
  <si>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</si>
  <si>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</si>
  <si>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</si>
  <si>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</si>
  <si>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</si>
  <si>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</si>
  <si>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</si>
  <si>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</si>
  <si>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</si>
  <si>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</si>
  <si>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</si>
  <si>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</si>
  <si>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</si>
  <si>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</si>
  <si>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</si>
  <si>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</si>
  <si>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</si>
  <si>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</si>
  <si>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</si>
  <si>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</si>
  <si>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</si>
  <si>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</si>
  <si>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</si>
  <si>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</si>
  <si>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</si>
  <si>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</si>
  <si>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</si>
  <si>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</si>
  <si>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</si>
  <si>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</si>
  <si>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</si>
  <si>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</si>
  <si>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</si>
  <si>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</si>
  <si>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</si>
  <si>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</si>
  <si>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</si>
  <si>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</si>
  <si>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</si>
  <si>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</si>
  <si>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</si>
  <si>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</si>
  <si>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</si>
  <si>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</si>
  <si>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</si>
  <si>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</si>
  <si>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</si>
  <si>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</si>
  <si>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</si>
  <si>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</si>
  <si>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</si>
  <si>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</si>
  <si>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</si>
  <si>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</si>
  <si>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</si>
  <si>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</si>
  <si>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</si>
  <si>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</si>
  <si>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</si>
  <si>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</si>
  <si>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</si>
  <si>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</si>
  <si>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</si>
  <si>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</si>
  <si>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</si>
  <si>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</si>
  <si>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</si>
  <si>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</si>
  <si>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</si>
  <si>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</si>
  <si>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</si>
  <si>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</si>
  <si>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</si>
  <si>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</si>
  <si>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</si>
  <si>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</si>
  <si>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</si>
  <si>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</si>
  <si>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</si>
  <si>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</si>
  <si>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</si>
  <si>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</si>
  <si>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</si>
  <si>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</si>
  <si>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</si>
  <si>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</si>
  <si>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</si>
  <si>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</si>
  <si>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</si>
  <si>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</si>
  <si>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</si>
  <si>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</si>
  <si>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</si>
  <si>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</si>
  <si>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</si>
  <si>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</si>
  <si>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</si>
  <si>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</si>
  <si>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</si>
  <si>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</si>
  <si>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</si>
  <si>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</si>
  <si>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</si>
  <si>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</si>
  <si>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</si>
  <si>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</si>
  <si>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</si>
  <si>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</si>
  <si>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</si>
  <si>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</si>
  <si>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</si>
  <si>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</si>
  <si>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</si>
  <si>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</si>
  <si>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</si>
  <si>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</si>
  <si>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</si>
  <si>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</si>
  <si>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</si>
  <si>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</si>
  <si>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</si>
  <si>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</si>
  <si>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</si>
  <si>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</si>
  <si>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</si>
  <si>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</si>
  <si>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</si>
  <si>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</si>
  <si>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</si>
  <si>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</si>
  <si>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</si>
  <si>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</si>
  <si>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</si>
  <si>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</si>
  <si>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</si>
  <si>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</si>
  <si>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</si>
  <si>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</si>
  <si>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</si>
  <si>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</si>
  <si>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</si>
  <si>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</si>
  <si>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</si>
  <si>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</si>
  <si>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</si>
  <si>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</si>
  <si>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</si>
  <si>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</si>
  <si>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</si>
  <si>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</si>
  <si>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</si>
  <si>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</si>
  <si>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</si>
  <si>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</si>
  <si>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</si>
  <si>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</si>
  <si>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</si>
  <si>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</si>
  <si>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</si>
  <si>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</si>
  <si>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</si>
  <si>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</si>
  <si>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</si>
  <si>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</si>
  <si>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</si>
  <si>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</si>
  <si>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</si>
  <si>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</si>
  <si>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</si>
  <si>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</si>
  <si>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</si>
  <si>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</si>
  <si>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</si>
  <si>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</si>
  <si>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</si>
  <si>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</si>
  <si>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</si>
  <si>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</si>
  <si>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</si>
  <si>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</si>
  <si>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</si>
  <si>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</si>
  <si>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</si>
  <si>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</si>
  <si>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</si>
  <si>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</si>
  <si>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</si>
  <si>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</si>
  <si>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</si>
  <si>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</si>
  <si>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</si>
  <si>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</si>
  <si>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</si>
  <si>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</si>
  <si>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</si>
  <si>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</si>
  <si>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</si>
  <si>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</si>
  <si>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</si>
  <si>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</si>
  <si>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</si>
  <si>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</si>
  <si>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</si>
  <si>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</si>
  <si>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</si>
  <si>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</si>
  <si>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</si>
  <si>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</si>
  <si>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</si>
  <si>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</si>
  <si>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</si>
  <si>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</si>
  <si>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</si>
  <si>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</si>
  <si>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</si>
  <si>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</si>
  <si>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</si>
  <si>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</si>
  <si>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</si>
  <si>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</si>
  <si>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</si>
  <si>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</si>
  <si>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</si>
  <si>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</si>
  <si>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</si>
  <si>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</si>
  <si>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</si>
  <si>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</si>
  <si>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</si>
  <si>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</si>
  <si>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</si>
  <si>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</si>
  <si>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</si>
  <si>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</si>
  <si>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</si>
  <si>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</si>
  <si>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</si>
  <si>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</si>
  <si>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</si>
  <si>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</si>
  <si>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</si>
  <si>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</si>
  <si>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</si>
  <si>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</si>
  <si>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</si>
  <si>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</si>
  <si>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</si>
  <si>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</si>
  <si>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</si>
  <si>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</si>
  <si>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</si>
  <si>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</si>
  <si>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</si>
  <si>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</si>
  <si>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</si>
  <si>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</si>
  <si>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</si>
  <si>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</si>
  <si>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</si>
  <si>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</si>
  <si>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</si>
  <si>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</si>
  <si>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</si>
  <si>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</si>
  <si>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</si>
  <si>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</si>
  <si>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</si>
  <si>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</si>
  <si>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</si>
  <si>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</si>
  <si>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</si>
  <si>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</si>
  <si>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</si>
  <si>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</si>
  <si>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</si>
  <si>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</si>
  <si>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</si>
  <si>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</si>
  <si>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</si>
  <si>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</si>
  <si>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</si>
  <si>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</si>
  <si>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</si>
  <si>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</si>
  <si>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</si>
  <si>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</si>
  <si>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</si>
  <si>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</si>
  <si>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</si>
  <si>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</si>
  <si>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</si>
  <si>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</si>
  <si>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</si>
  <si>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</si>
  <si>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</si>
  <si>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</si>
  <si>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</si>
  <si>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</si>
  <si>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</si>
  <si>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</si>
  <si>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</si>
  <si>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</si>
  <si>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</si>
  <si>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</si>
  <si>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</si>
  <si>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</si>
  <si>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</si>
  <si>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</si>
  <si>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</si>
  <si>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</si>
  <si>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</si>
  <si>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</si>
  <si>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</si>
  <si>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</si>
  <si>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</si>
  <si>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</si>
  <si>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</si>
  <si>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</si>
  <si>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</si>
  <si>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</si>
  <si>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</si>
  <si>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</si>
  <si>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</si>
  <si>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</si>
  <si>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</si>
  <si>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</si>
  <si>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</si>
  <si>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</si>
  <si>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</si>
  <si>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</si>
  <si>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</si>
  <si>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</si>
  <si>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</si>
  <si>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</si>
  <si>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</si>
  <si>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</si>
  <si>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</si>
  <si>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</si>
  <si>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</si>
  <si>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</si>
  <si>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</si>
  <si>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</si>
  <si>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</si>
  <si>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</si>
  <si>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</si>
  <si>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</si>
  <si>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</si>
  <si>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</si>
  <si>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</si>
  <si>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</si>
  <si>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</si>
  <si>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</si>
  <si>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</si>
  <si>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</si>
  <si>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</si>
  <si>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</si>
  <si>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</si>
  <si>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</si>
  <si>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</si>
  <si>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</si>
  <si>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</si>
  <si>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</si>
  <si>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</si>
  <si>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</si>
  <si>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</si>
  <si>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</si>
  <si>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</si>
  <si>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</si>
  <si>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</si>
  <si>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</si>
  <si>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</si>
  <si>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</si>
  <si>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</si>
  <si>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</si>
  <si>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</si>
  <si>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</si>
  <si>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</si>
  <si>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</si>
  <si>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</si>
  <si>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</si>
  <si>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</si>
  <si>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</si>
  <si>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</si>
  <si>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</si>
  <si>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</si>
  <si>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</si>
  <si>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</si>
  <si>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</si>
  <si>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</si>
  <si>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</si>
  <si>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</si>
  <si>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</si>
  <si>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</si>
  <si>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</si>
  <si>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</si>
  <si>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</si>
  <si>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</si>
  <si>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</si>
  <si>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</si>
  <si>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</si>
  <si>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</si>
  <si>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</si>
  <si>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</si>
  <si>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</si>
  <si>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</si>
  <si>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</si>
  <si>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</si>
  <si>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</si>
  <si>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</si>
  <si>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</si>
  <si>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</si>
  <si>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</si>
  <si>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</si>
  <si>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</si>
  <si>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</si>
  <si>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</si>
  <si>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</si>
  <si>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</si>
  <si>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</si>
  <si>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</si>
  <si>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</si>
  <si>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</si>
  <si>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</si>
  <si>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</si>
  <si>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</si>
  <si>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</si>
  <si>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</si>
  <si>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</si>
  <si>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</si>
  <si>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</si>
  <si>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</si>
  <si>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</si>
  <si>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</si>
  <si>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</si>
  <si>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</si>
  <si>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</si>
  <si>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</si>
  <si>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</si>
  <si>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</si>
  <si>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</si>
  <si>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</si>
  <si>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</si>
  <si>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</si>
  <si>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</si>
  <si>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</si>
  <si>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</si>
  <si>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</si>
  <si>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</si>
  <si>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</si>
  <si>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</si>
  <si>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</si>
  <si>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</si>
  <si>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</si>
  <si>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</si>
  <si>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</si>
  <si>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</si>
  <si>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</si>
  <si>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</si>
  <si>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</si>
  <si>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</si>
  <si>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</si>
  <si>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</si>
  <si>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</si>
  <si>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</si>
  <si>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</si>
  <si>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</si>
  <si>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</si>
  <si>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</si>
  <si>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</si>
  <si>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</si>
  <si>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</si>
  <si>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</si>
  <si>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</si>
  <si>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</si>
  <si>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</si>
  <si>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</si>
  <si>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</si>
  <si>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</si>
  <si>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</si>
  <si>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</si>
  <si>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</si>
  <si>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</si>
  <si>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</si>
  <si>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</si>
  <si>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</si>
  <si>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</si>
  <si>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</si>
  <si>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</si>
  <si>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</si>
  <si>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</si>
  <si>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</si>
  <si>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</si>
  <si>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</si>
  <si>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</si>
  <si>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</si>
  <si>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</si>
  <si>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</si>
  <si>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</si>
  <si>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</si>
  <si>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</si>
  <si>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</si>
  <si>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</si>
  <si>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</si>
  <si>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</si>
  <si>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</si>
  <si>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</si>
  <si>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</si>
  <si>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</si>
  <si>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</si>
  <si>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</si>
  <si>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</si>
  <si>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</si>
  <si>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</si>
  <si>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</si>
  <si>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</si>
  <si>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</si>
  <si>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</si>
  <si>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</si>
  <si>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</si>
  <si>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</si>
  <si>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</si>
  <si>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</si>
  <si>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</si>
  <si>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</si>
  <si>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</si>
  <si>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</si>
  <si>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</si>
  <si>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</si>
  <si>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</si>
  <si>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</si>
  <si>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</si>
  <si>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</si>
  <si>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</si>
  <si>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</si>
  <si>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</si>
  <si>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</si>
  <si>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</si>
  <si>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</si>
  <si>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</si>
  <si>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</si>
  <si>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</si>
  <si>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</si>
  <si>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</si>
  <si>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</si>
  <si>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</si>
  <si>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</si>
  <si>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</si>
  <si>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</si>
  <si>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</si>
  <si>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</si>
  <si>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</si>
  <si>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</si>
  <si>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</si>
  <si>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</si>
  <si>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</si>
  <si>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</si>
  <si>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</si>
  <si>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</si>
  <si>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</si>
  <si>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</si>
  <si>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</si>
  <si>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</si>
  <si>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</si>
  <si>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</si>
  <si>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</si>
  <si>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</si>
  <si>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</si>
  <si>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</si>
  <si>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</si>
  <si>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</si>
  <si>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</si>
  <si>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</si>
  <si>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</si>
  <si>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</si>
  <si>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</si>
  <si>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</si>
  <si>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</si>
  <si>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</si>
  <si>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</si>
  <si>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</si>
  <si>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</si>
  <si>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</si>
  <si>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</si>
  <si>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</si>
  <si>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</si>
  <si>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b750</t>
  </si>
  <si>
    <t>d628</t>
  </si>
  <si>
    <t>c922</t>
  </si>
  <si>
    <t>Елена Ралчева</t>
  </si>
  <si>
    <t>инж. Васил Панделиев</t>
  </si>
  <si>
    <t>kmetsungurlare@abv.bg</t>
  </si>
  <si>
    <t>09.01.2019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</si>
</sst>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Сунгурларе</v>
      </c>
      <c r="C2" s="1752"/>
      <c r="D2" s="1753"/>
      <c r="E2" s="1021"/>
      <c r="F2" s="1022">
        <f>+OTCHET!H9</f>
        <v>57250</v>
      </c>
      <c r="G2" s="1023" t="str">
        <f>+OTCHET!F12</f>
        <v>5212</v>
      </c>
      <c r="H2" s="1024"/>
      <c r="I2" s="1754">
        <f>+OTCHET!H609</f>
        <v>0</v>
      </c>
      <c r="J2" s="1755"/>
      <c r="K2" s="1015"/>
      <c r="L2" s="1756" t="str">
        <f>OTCHET!H607</f>
        <v>kmetsungurlare@abv.bg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152000</v>
      </c>
      <c r="J44" s="1116">
        <f>+IF(OR($P$2=98,$P$2=42,$P$2=96,$P$2=97),$Q44,0)</f>
        <v>44146</v>
      </c>
      <c r="K44" s="1097"/>
      <c r="L44" s="1116">
        <f>+IF($P$2=33,$Q44,0)</f>
        <v>0</v>
      </c>
      <c r="M44" s="1097"/>
      <c r="N44" s="1117">
        <f>+ROUND(+G44+J44+L44,0)</f>
        <v>44146</v>
      </c>
      <c r="O44" s="1099"/>
      <c r="P44" s="1115">
        <f>+ROUND(OTCHET!E152,0)</f>
        <v>152000</v>
      </c>
      <c r="Q44" s="1116">
        <f>+ROUND(OTCHET!L152,0)</f>
        <v>44146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152000</v>
      </c>
      <c r="J46" s="1128">
        <f>+ROUND(+SUM(J42:J45),0)</f>
        <v>44146</v>
      </c>
      <c r="K46" s="1097"/>
      <c r="L46" s="1128">
        <f>+ROUND(+SUM(L42:L45),0)</f>
        <v>0</v>
      </c>
      <c r="M46" s="1097"/>
      <c r="N46" s="1129">
        <f>+ROUND(+SUM(N42:N45),0)</f>
        <v>44146</v>
      </c>
      <c r="O46" s="1099"/>
      <c r="P46" s="1127">
        <f>+ROUND(+SUM(P42:P45),0)</f>
        <v>152000</v>
      </c>
      <c r="Q46" s="1128">
        <f>+ROUND(+SUM(Q42:Q45),0)</f>
        <v>44146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152000</v>
      </c>
      <c r="J48" s="1202">
        <f>+ROUND(J23+J28+J35+J40+J46,0)</f>
        <v>44146</v>
      </c>
      <c r="K48" s="1097"/>
      <c r="L48" s="1202">
        <f>+ROUND(L23+L28+L35+L40+L46,0)</f>
        <v>0</v>
      </c>
      <c r="M48" s="1097"/>
      <c r="N48" s="1203">
        <f>+ROUND(N23+N28+N35+N40+N46,0)</f>
        <v>44146</v>
      </c>
      <c r="O48" s="1204"/>
      <c r="P48" s="1201">
        <f>+ROUND(P23+P28+P35+P40+P46,0)</f>
        <v>152000</v>
      </c>
      <c r="Q48" s="1202">
        <f>+ROUND(Q23+Q28+Q35+Q40+Q46,0)</f>
        <v>44146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16730</v>
      </c>
      <c r="J51" s="1104">
        <f>+IF(OR($P$2=98,$P$2=42,$P$2=96,$P$2=97),$Q51,0)</f>
        <v>22459</v>
      </c>
      <c r="K51" s="1097"/>
      <c r="L51" s="1104">
        <f>+IF($P$2=33,$Q51,0)</f>
        <v>0</v>
      </c>
      <c r="M51" s="1097"/>
      <c r="N51" s="1134">
        <f>+ROUND(+G51+J51+L51,0)</f>
        <v>22459</v>
      </c>
      <c r="O51" s="1099"/>
      <c r="P51" s="1103">
        <f>+ROUND(OTCHET!E206-SUM(OTCHET!E218:E220)+OTCHET!E273+IF(+OR(OTCHET!$F$12=5500,OTCHET!$F$12=5600),0,+OTCHET!E299),0)</f>
        <v>16730</v>
      </c>
      <c r="Q51" s="1104">
        <f>+ROUND(OTCHET!L206-SUM(OTCHET!L218:L220)+OTCHET!L273+IF(+OR(OTCHET!$F$12=5500,OTCHET!$F$12=5600),0,+OTCHET!L299),0)</f>
        <v>22459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10800</v>
      </c>
      <c r="J54" s="1122">
        <f>+IF(OR($P$2=98,$P$2=42,$P$2=96,$P$2=97),$Q54,0)</f>
        <v>6941</v>
      </c>
      <c r="K54" s="1097"/>
      <c r="L54" s="1122">
        <f>+IF($P$2=33,$Q54,0)</f>
        <v>0</v>
      </c>
      <c r="M54" s="1097"/>
      <c r="N54" s="1123">
        <f>+ROUND(+G54+J54+L54,0)</f>
        <v>6941</v>
      </c>
      <c r="O54" s="1099"/>
      <c r="P54" s="1121">
        <f>+ROUND(OTCHET!E188+OTCHET!E191,0)</f>
        <v>10800</v>
      </c>
      <c r="Q54" s="1122">
        <f>+ROUND(OTCHET!L188+OTCHET!L191,0)</f>
        <v>6941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1815</v>
      </c>
      <c r="J55" s="1122">
        <f>+IF(OR($P$2=98,$P$2=42,$P$2=96,$P$2=97),$Q55,0)</f>
        <v>824</v>
      </c>
      <c r="K55" s="1097"/>
      <c r="L55" s="1122">
        <f>+IF($P$2=33,$Q55,0)</f>
        <v>0</v>
      </c>
      <c r="M55" s="1097"/>
      <c r="N55" s="1123">
        <f>+ROUND(+G55+J55+L55,0)</f>
        <v>824</v>
      </c>
      <c r="O55" s="1099"/>
      <c r="P55" s="1121">
        <f>+ROUND(OTCHET!E197+OTCHET!E205,0)</f>
        <v>1815</v>
      </c>
      <c r="Q55" s="1122">
        <f>+ROUND(OTCHET!L197+OTCHET!L205,0)</f>
        <v>824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29345</v>
      </c>
      <c r="J56" s="1210">
        <f>+ROUND(+SUM(J51:J55),0)</f>
        <v>30224</v>
      </c>
      <c r="K56" s="1097"/>
      <c r="L56" s="1210">
        <f>+ROUND(+SUM(L51:L55),0)</f>
        <v>0</v>
      </c>
      <c r="M56" s="1097"/>
      <c r="N56" s="1211">
        <f>+ROUND(+SUM(N51:N55),0)</f>
        <v>30224</v>
      </c>
      <c r="O56" s="1099"/>
      <c r="P56" s="1209">
        <f>+ROUND(+SUM(P51:P55),0)</f>
        <v>29345</v>
      </c>
      <c r="Q56" s="1210">
        <f>+ROUND(+SUM(Q51:Q55),0)</f>
        <v>30224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356603</v>
      </c>
      <c r="J59" s="1122">
        <f>+IF(OR($P$2=98,$P$2=42,$P$2=96,$P$2=97),$Q59,0)</f>
        <v>249556</v>
      </c>
      <c r="K59" s="1097"/>
      <c r="L59" s="1122">
        <f>+IF($P$2=33,$Q59,0)</f>
        <v>0</v>
      </c>
      <c r="M59" s="1097"/>
      <c r="N59" s="1123">
        <f>+ROUND(+G59+J59+L59,0)</f>
        <v>249556</v>
      </c>
      <c r="O59" s="1099"/>
      <c r="P59" s="1121">
        <f>+ROUND(+OTCHET!E277+OTCHET!E278,0)</f>
        <v>356603</v>
      </c>
      <c r="Q59" s="1122">
        <f>+ROUND(+OTCHET!L277+OTCHET!L278,0)</f>
        <v>249556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356603</v>
      </c>
      <c r="J63" s="1210">
        <f>+ROUND(+SUM(J58:J61),0)</f>
        <v>249556</v>
      </c>
      <c r="K63" s="1097"/>
      <c r="L63" s="1210">
        <f>+ROUND(+SUM(L58:L61),0)</f>
        <v>0</v>
      </c>
      <c r="M63" s="1097"/>
      <c r="N63" s="1211">
        <f>+ROUND(+SUM(N58:N61),0)</f>
        <v>249556</v>
      </c>
      <c r="O63" s="1099"/>
      <c r="P63" s="1209">
        <f>+ROUND(+SUM(P58:P61),0)</f>
        <v>356603</v>
      </c>
      <c r="Q63" s="1210">
        <f>+ROUND(+SUM(Q58:Q61),0)</f>
        <v>249556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385948</v>
      </c>
      <c r="J77" s="1235">
        <f>+ROUND(J56+J63+J67+J71+J75,0)</f>
        <v>279780</v>
      </c>
      <c r="K77" s="1097"/>
      <c r="L77" s="1235">
        <f>+ROUND(L56+L63+L67+L71+L75,0)</f>
        <v>0</v>
      </c>
      <c r="M77" s="1097"/>
      <c r="N77" s="1236">
        <f>+ROUND(N56+N63+N67+N71+N75,0)</f>
        <v>279780</v>
      </c>
      <c r="O77" s="1099"/>
      <c r="P77" s="1233">
        <f>+ROUND(P56+P63+P67+P71+P75,0)</f>
        <v>385948</v>
      </c>
      <c r="Q77" s="1234">
        <f>+ROUND(Q56+Q63+Q67+Q71+Q75,0)</f>
        <v>279780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220000</v>
      </c>
      <c r="J80" s="1122">
        <f>+IF(OR($P$2=98,$P$2=42,$P$2=96,$P$2=97),$Q80,0)</f>
        <v>221686</v>
      </c>
      <c r="K80" s="1097"/>
      <c r="L80" s="1122">
        <f>+IF($P$2=33,$Q80,0)</f>
        <v>0</v>
      </c>
      <c r="M80" s="1097"/>
      <c r="N80" s="1123">
        <f>+ROUND(+G80+J80+L80,0)</f>
        <v>221686</v>
      </c>
      <c r="O80" s="1099"/>
      <c r="P80" s="1121">
        <f>+ROUND(OTCHET!E431,0)</f>
        <v>220000</v>
      </c>
      <c r="Q80" s="1122">
        <f>+ROUND(OTCHET!L431,0)</f>
        <v>221686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220000</v>
      </c>
      <c r="J81" s="1244">
        <f>+ROUND(J79+J80,0)</f>
        <v>221686</v>
      </c>
      <c r="K81" s="1097"/>
      <c r="L81" s="1244">
        <f>+ROUND(L79+L80,0)</f>
        <v>0</v>
      </c>
      <c r="M81" s="1097"/>
      <c r="N81" s="1245">
        <f>+ROUND(N79+N80,0)</f>
        <v>221686</v>
      </c>
      <c r="O81" s="1099"/>
      <c r="P81" s="1243">
        <f>+ROUND(P79+P80,0)</f>
        <v>220000</v>
      </c>
      <c r="Q81" s="1244">
        <f>+ROUND(Q79+Q80,0)</f>
        <v>221686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-13948</v>
      </c>
      <c r="J83" s="1257">
        <f>+ROUND(J48,0)-ROUND(J77,0)+ROUND(J81,0)</f>
        <v>-13948</v>
      </c>
      <c r="K83" s="1097"/>
      <c r="L83" s="1257">
        <f>+ROUND(L48,0)-ROUND(L77,0)+ROUND(L81,0)</f>
        <v>0</v>
      </c>
      <c r="M83" s="1097"/>
      <c r="N83" s="1258">
        <f>+ROUND(N48,0)-ROUND(N77,0)+ROUND(N81,0)</f>
        <v>-13948</v>
      </c>
      <c r="O83" s="1259"/>
      <c r="P83" s="1256">
        <f>+ROUND(P48,0)-ROUND(P77,0)+ROUND(P81,0)</f>
        <v>-13948</v>
      </c>
      <c r="Q83" s="1257">
        <f>+ROUND(Q48,0)-ROUND(Q77,0)+ROUND(Q81,0)</f>
        <v>-13948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13948</v>
      </c>
      <c r="J84" s="1265">
        <f>+ROUND(J101,0)+ROUND(J120,0)+ROUND(J127,0)-ROUND(J132,0)</f>
        <v>13948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13948</v>
      </c>
      <c r="O84" s="1259"/>
      <c r="P84" s="1264">
        <f>+ROUND(P101,0)+ROUND(P120,0)+ROUND(P127,0)-ROUND(P132,0)</f>
        <v>13948</v>
      </c>
      <c r="Q84" s="1265">
        <f>+ROUND(Q101,0)+ROUND(Q120,0)+ROUND(Q127,0)-ROUND(Q132,0)</f>
        <v>13948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13948</v>
      </c>
      <c r="J123" s="1122">
        <f>+IF(OR($P$2=98,$P$2=42,$P$2=96,$P$2=97),$Q123,0)</f>
        <v>13948</v>
      </c>
      <c r="K123" s="1097"/>
      <c r="L123" s="1122">
        <f>+IF($P$2=33,$Q123,0)</f>
        <v>0</v>
      </c>
      <c r="M123" s="1097"/>
      <c r="N123" s="1123">
        <f>+ROUND(+G123+J123+L123,0)</f>
        <v>13948</v>
      </c>
      <c r="O123" s="1099"/>
      <c r="P123" s="1121">
        <f>+ROUND(OTCHET!E526,0)</f>
        <v>13948</v>
      </c>
      <c r="Q123" s="1122">
        <f>+ROUND(OTCHET!L526,0)</f>
        <v>13948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13948</v>
      </c>
      <c r="J127" s="1244">
        <f>+ROUND(+SUM(J122:J126),0)</f>
        <v>13948</v>
      </c>
      <c r="K127" s="1097"/>
      <c r="L127" s="1244">
        <f>+ROUND(+SUM(L122:L126),0)</f>
        <v>0</v>
      </c>
      <c r="M127" s="1097"/>
      <c r="N127" s="1245">
        <f>+ROUND(+SUM(N122:N126),0)</f>
        <v>13948</v>
      </c>
      <c r="O127" s="1099"/>
      <c r="P127" s="1243">
        <f>+ROUND(+SUM(P122:P126),0)</f>
        <v>13948</v>
      </c>
      <c r="Q127" s="1244">
        <f>+ROUND(+SUM(Q122:Q126),0)</f>
        <v>13948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09.01.2019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152000</v>
      </c>
      <c r="F22" s="765">
        <f>+F23+F25+F36+F37</f>
        <v>44146</v>
      </c>
      <c r="G22" s="766">
        <f>+G23+G25+G36+G37</f>
        <v>0</v>
      </c>
      <c r="H22" s="767">
        <f>+H23+H25+H36+H37</f>
        <v>44146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152000</v>
      </c>
      <c r="F37" s="841">
        <f t="shared" si="0"/>
        <v>44146</v>
      </c>
      <c r="G37" s="842">
        <f>OTCHET!I143+OTCHET!I152+OTCHET!I161</f>
        <v>0</v>
      </c>
      <c r="H37" s="843">
        <f>OTCHET!J143+OTCHET!J152+OTCHET!J161</f>
        <v>44146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385948</v>
      </c>
      <c r="F38" s="849">
        <f>F39+F43+F44+F46+SUM(F48:F52)+F55</f>
        <v>279780</v>
      </c>
      <c r="G38" s="850">
        <f>G39+G43+G44+G46+SUM(G48:G52)+G55</f>
        <v>0</v>
      </c>
      <c r="H38" s="851">
        <f>H39+H43+H44+H46+SUM(H48:H52)+H55</f>
        <v>279780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12615</v>
      </c>
      <c r="F39" s="812">
        <f>SUM(F40:F42)</f>
        <v>7765</v>
      </c>
      <c r="G39" s="813">
        <f>SUM(G40:G42)</f>
        <v>0</v>
      </c>
      <c r="H39" s="814">
        <f>SUM(H40:H42)</f>
        <v>7765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10800</v>
      </c>
      <c r="F41" s="1668">
        <f t="shared" si="1"/>
        <v>6941</v>
      </c>
      <c r="G41" s="1669">
        <f>OTCHET!I191</f>
        <v>0</v>
      </c>
      <c r="H41" s="1670">
        <f>OTCHET!J191</f>
        <v>6941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1815</v>
      </c>
      <c r="F42" s="1673">
        <f t="shared" si="1"/>
        <v>824</v>
      </c>
      <c r="G42" s="1674">
        <f>+OTCHET!I197+OTCHET!I205</f>
        <v>0</v>
      </c>
      <c r="H42" s="1675">
        <f>+OTCHET!J197+OTCHET!J205</f>
        <v>824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16730</v>
      </c>
      <c r="F43" s="817">
        <f t="shared" si="1"/>
        <v>22459</v>
      </c>
      <c r="G43" s="818">
        <f>+OTCHET!I206+OTCHET!I224+OTCHET!I273</f>
        <v>0</v>
      </c>
      <c r="H43" s="819">
        <f>+OTCHET!J206+OTCHET!J224+OTCHET!J273</f>
        <v>22459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356603</v>
      </c>
      <c r="F49" s="817">
        <f t="shared" si="1"/>
        <v>249556</v>
      </c>
      <c r="G49" s="818">
        <f>OTCHET!I277+OTCHET!I278+OTCHET!I286+OTCHET!I289</f>
        <v>0</v>
      </c>
      <c r="H49" s="819">
        <f>OTCHET!J277+OTCHET!J278+OTCHET!J286+OTCHET!J289</f>
        <v>249556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220000</v>
      </c>
      <c r="F56" s="894">
        <f>+F57+F58+F62</f>
        <v>221686</v>
      </c>
      <c r="G56" s="895">
        <f>+G57+G58+G62</f>
        <v>0</v>
      </c>
      <c r="H56" s="896">
        <f>+H57+H58+H62</f>
        <v>221686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220000</v>
      </c>
      <c r="F58" s="903">
        <f t="shared" si="2"/>
        <v>221686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221686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220000</v>
      </c>
      <c r="F59" s="907">
        <f t="shared" si="2"/>
        <v>221686</v>
      </c>
      <c r="G59" s="908">
        <f>+OTCHET!I424+OTCHET!I425+OTCHET!I426+OTCHET!I427+OTCHET!I428</f>
        <v>0</v>
      </c>
      <c r="H59" s="909">
        <f>+OTCHET!J424+OTCHET!J425+OTCHET!J426+OTCHET!J427+OTCHET!J428</f>
        <v>221686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-13948</v>
      </c>
      <c r="F64" s="929">
        <f>+F22-F38+F56-F63</f>
        <v>-13948</v>
      </c>
      <c r="G64" s="930">
        <f>+G22-G38+G56-G63</f>
        <v>0</v>
      </c>
      <c r="H64" s="931">
        <f>+H22-H38+H56-H63</f>
        <v>-13948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13948</v>
      </c>
      <c r="F66" s="939">
        <f>SUM(+F68+F76+F77+F84+F85+F86+F89+F90+F91+F92+F93+F94+F95)</f>
        <v>13948</v>
      </c>
      <c r="G66" s="940">
        <f>SUM(+G68+G76+G77+G84+G85+G86+G89+G90+G91+G92+G93+G94+G95)</f>
        <v>0</v>
      </c>
      <c r="H66" s="941">
        <f>SUM(+H68+H76+H77+H84+H85+H86+H89+H90+H91+H92+H93+H94+H95)</f>
        <v>13948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13948</v>
      </c>
      <c r="F86" s="907">
        <f>+F87+F88</f>
        <v>13948</v>
      </c>
      <c r="G86" s="908">
        <f>+G87+G88</f>
        <v>0</v>
      </c>
      <c r="H86" s="909">
        <f>+H87+H88</f>
        <v>13948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13948</v>
      </c>
      <c r="F88" s="965">
        <f t="shared" si="5"/>
        <v>13948</v>
      </c>
      <c r="G88" s="966">
        <f>+OTCHET!I523+OTCHET!I526+OTCHET!I546</f>
        <v>0</v>
      </c>
      <c r="H88" s="967">
        <f>+OTCHET!J523+OTCHET!J526+OTCHET!J546</f>
        <v>13948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Елена Ралчева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Елена Ралчева</v>
      </c>
      <c r="F114" s="1770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84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СРЕДСТВАТА ОТ ЕВРОПЕЙСКИЯ СЪЮЗ - ДЕС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2071</v>
      </c>
      <c r="C9" s="1857"/>
      <c r="D9" s="1858"/>
      <c r="E9" s="115">
        <v>43101</v>
      </c>
      <c r="F9" s="116">
        <v>43465</v>
      </c>
      <c r="G9" s="113"/>
      <c r="H9" s="1417">
        <v>57250</v>
      </c>
      <c r="I9" s="1811"/>
      <c r="J9" s="181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13" t="s">
        <v>981</v>
      </c>
      <c r="J10" s="18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4"/>
      <c r="J11" s="1814"/>
      <c r="K11" s="113"/>
      <c r="L11" s="113"/>
      <c r="M11" s="7">
        <v>1</v>
      </c>
      <c r="N11" s="108"/>
    </row>
    <row r="12" spans="2:14" ht="27" customHeight="1">
      <c r="B12" s="1838" t="str">
        <f>VLOOKUP(F12,PRBK,2,FALSE)</f>
        <v>Сунгурларе</v>
      </c>
      <c r="C12" s="1839"/>
      <c r="D12" s="1840"/>
      <c r="E12" s="118" t="s">
        <v>975</v>
      </c>
      <c r="F12" s="1588" t="s">
        <v>1397</v>
      </c>
      <c r="G12" s="113"/>
      <c r="H12" s="114"/>
      <c r="I12" s="1814"/>
      <c r="J12" s="181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5" t="s">
        <v>2034</v>
      </c>
      <c r="F19" s="1796"/>
      <c r="G19" s="1796"/>
      <c r="H19" s="1797"/>
      <c r="I19" s="1862" t="s">
        <v>2035</v>
      </c>
      <c r="J19" s="1863"/>
      <c r="K19" s="1863"/>
      <c r="L19" s="1864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472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474</v>
      </c>
      <c r="D28" s="185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127</v>
      </c>
      <c r="D33" s="185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152000</v>
      </c>
      <c r="F152" s="168">
        <f t="shared" si="32"/>
        <v>0</v>
      </c>
      <c r="G152" s="169">
        <f t="shared" si="32"/>
        <v>152000</v>
      </c>
      <c r="H152" s="170">
        <f>SUM(H153:H160)</f>
        <v>0</v>
      </c>
      <c r="I152" s="168">
        <f t="shared" si="32"/>
        <v>0</v>
      </c>
      <c r="J152" s="169">
        <f t="shared" si="32"/>
        <v>44146</v>
      </c>
      <c r="K152" s="170">
        <f>SUM(K153:K160)</f>
        <v>0</v>
      </c>
      <c r="L152" s="1378">
        <f t="shared" si="32"/>
        <v>44146</v>
      </c>
      <c r="M152" s="7">
        <f t="shared" si="16"/>
        <v>1</v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152000</v>
      </c>
      <c r="F155" s="158"/>
      <c r="G155" s="159">
        <v>152000</v>
      </c>
      <c r="H155" s="160">
        <v>0</v>
      </c>
      <c r="I155" s="158"/>
      <c r="J155" s="159">
        <v>44146</v>
      </c>
      <c r="K155" s="160">
        <v>0</v>
      </c>
      <c r="L155" s="296">
        <f t="shared" si="34"/>
        <v>44146</v>
      </c>
      <c r="M155" s="7">
        <f t="shared" si="16"/>
        <v>1</v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152000</v>
      </c>
      <c r="F170" s="212">
        <f t="shared" si="39"/>
        <v>0</v>
      </c>
      <c r="G170" s="213">
        <f t="shared" si="39"/>
        <v>152000</v>
      </c>
      <c r="H170" s="214">
        <f t="shared" si="39"/>
        <v>0</v>
      </c>
      <c r="I170" s="212">
        <f t="shared" si="39"/>
        <v>0</v>
      </c>
      <c r="J170" s="213">
        <f t="shared" si="39"/>
        <v>44146</v>
      </c>
      <c r="K170" s="214">
        <f t="shared" si="39"/>
        <v>0</v>
      </c>
      <c r="L170" s="211">
        <f t="shared" si="39"/>
        <v>44146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0" t="str">
        <f>$B$7</f>
        <v>ОТЧЕТНИ ДАННИ ПО ЕБК ЗА СМЕТКИТЕ ЗА СРЕДСТВАТА ОТ ЕВРОПЕЙСКИЯ СЪЮЗ - ДЕС</v>
      </c>
      <c r="C175" s="1851"/>
      <c r="D175" s="185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Сунгурларе</v>
      </c>
      <c r="C177" s="1790"/>
      <c r="D177" s="1791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8" t="str">
        <f>$B$12</f>
        <v>Сунгурларе</v>
      </c>
      <c r="C180" s="1839"/>
      <c r="D180" s="184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5" t="s">
        <v>2036</v>
      </c>
      <c r="F184" s="1796"/>
      <c r="G184" s="1796"/>
      <c r="H184" s="1797"/>
      <c r="I184" s="1798" t="s">
        <v>2037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753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756</v>
      </c>
      <c r="D191" s="1782"/>
      <c r="E191" s="274">
        <f aca="true" t="shared" si="45" ref="E191:L191">SUMIF($B$609:$B$12315,$B191,E$609:E$12315)</f>
        <v>10800</v>
      </c>
      <c r="F191" s="275">
        <f t="shared" si="45"/>
        <v>0</v>
      </c>
      <c r="G191" s="276">
        <f t="shared" si="45"/>
        <v>10800</v>
      </c>
      <c r="H191" s="277">
        <f t="shared" si="45"/>
        <v>0</v>
      </c>
      <c r="I191" s="275">
        <f t="shared" si="45"/>
        <v>0</v>
      </c>
      <c r="J191" s="276">
        <f t="shared" si="45"/>
        <v>6941</v>
      </c>
      <c r="K191" s="277">
        <f t="shared" si="45"/>
        <v>0</v>
      </c>
      <c r="L191" s="274">
        <f t="shared" si="45"/>
        <v>6941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10800</v>
      </c>
      <c r="F193" s="297">
        <f t="shared" si="46"/>
        <v>0</v>
      </c>
      <c r="G193" s="298">
        <f t="shared" si="46"/>
        <v>10800</v>
      </c>
      <c r="H193" s="299">
        <f t="shared" si="46"/>
        <v>0</v>
      </c>
      <c r="I193" s="297">
        <f t="shared" si="46"/>
        <v>0</v>
      </c>
      <c r="J193" s="298">
        <f t="shared" si="46"/>
        <v>6941</v>
      </c>
      <c r="K193" s="299">
        <f t="shared" si="46"/>
        <v>0</v>
      </c>
      <c r="L193" s="296">
        <f t="shared" si="46"/>
        <v>6941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195</v>
      </c>
      <c r="D197" s="1784"/>
      <c r="E197" s="274">
        <f aca="true" t="shared" si="47" ref="E197:L197">SUMIF($B$609:$B$12315,$B197,E$609:E$12315)</f>
        <v>1815</v>
      </c>
      <c r="F197" s="275">
        <f t="shared" si="47"/>
        <v>0</v>
      </c>
      <c r="G197" s="276">
        <f t="shared" si="47"/>
        <v>1815</v>
      </c>
      <c r="H197" s="277">
        <f t="shared" si="47"/>
        <v>0</v>
      </c>
      <c r="I197" s="275">
        <f t="shared" si="47"/>
        <v>0</v>
      </c>
      <c r="J197" s="276">
        <f t="shared" si="47"/>
        <v>824</v>
      </c>
      <c r="K197" s="277">
        <f t="shared" si="47"/>
        <v>0</v>
      </c>
      <c r="L197" s="274">
        <f t="shared" si="47"/>
        <v>824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985</v>
      </c>
      <c r="F198" s="283">
        <f t="shared" si="48"/>
        <v>0</v>
      </c>
      <c r="G198" s="284">
        <f t="shared" si="48"/>
        <v>985</v>
      </c>
      <c r="H198" s="285">
        <f t="shared" si="48"/>
        <v>0</v>
      </c>
      <c r="I198" s="283">
        <f t="shared" si="48"/>
        <v>0</v>
      </c>
      <c r="J198" s="284">
        <f t="shared" si="48"/>
        <v>428</v>
      </c>
      <c r="K198" s="285">
        <f t="shared" si="48"/>
        <v>0</v>
      </c>
      <c r="L198" s="282">
        <f t="shared" si="48"/>
        <v>428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520</v>
      </c>
      <c r="F201" s="297">
        <f t="shared" si="48"/>
        <v>0</v>
      </c>
      <c r="G201" s="298">
        <f t="shared" si="48"/>
        <v>520</v>
      </c>
      <c r="H201" s="299">
        <f t="shared" si="48"/>
        <v>0</v>
      </c>
      <c r="I201" s="297">
        <f t="shared" si="48"/>
        <v>0</v>
      </c>
      <c r="J201" s="298">
        <f t="shared" si="48"/>
        <v>250</v>
      </c>
      <c r="K201" s="299">
        <f t="shared" si="48"/>
        <v>0</v>
      </c>
      <c r="L201" s="296">
        <f t="shared" si="48"/>
        <v>250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310</v>
      </c>
      <c r="F202" s="297">
        <f t="shared" si="48"/>
        <v>0</v>
      </c>
      <c r="G202" s="298">
        <f t="shared" si="48"/>
        <v>310</v>
      </c>
      <c r="H202" s="299">
        <f t="shared" si="48"/>
        <v>0</v>
      </c>
      <c r="I202" s="297">
        <f t="shared" si="48"/>
        <v>0</v>
      </c>
      <c r="J202" s="298">
        <f t="shared" si="48"/>
        <v>146</v>
      </c>
      <c r="K202" s="299">
        <f t="shared" si="48"/>
        <v>0</v>
      </c>
      <c r="L202" s="296">
        <f t="shared" si="48"/>
        <v>146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200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201</v>
      </c>
      <c r="D206" s="1782"/>
      <c r="E206" s="311">
        <f t="shared" si="49"/>
        <v>16730</v>
      </c>
      <c r="F206" s="275">
        <f t="shared" si="49"/>
        <v>0</v>
      </c>
      <c r="G206" s="276">
        <f t="shared" si="49"/>
        <v>16730</v>
      </c>
      <c r="H206" s="277">
        <f t="shared" si="49"/>
        <v>0</v>
      </c>
      <c r="I206" s="275">
        <f t="shared" si="49"/>
        <v>0</v>
      </c>
      <c r="J206" s="276">
        <f t="shared" si="49"/>
        <v>22459</v>
      </c>
      <c r="K206" s="277">
        <f t="shared" si="49"/>
        <v>0</v>
      </c>
      <c r="L206" s="311">
        <f t="shared" si="49"/>
        <v>22459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1700</v>
      </c>
      <c r="F211" s="297">
        <f t="shared" si="50"/>
        <v>0</v>
      </c>
      <c r="G211" s="298">
        <f t="shared" si="50"/>
        <v>1700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14830</v>
      </c>
      <c r="F213" s="322">
        <f t="shared" si="50"/>
        <v>0</v>
      </c>
      <c r="G213" s="323">
        <f t="shared" si="50"/>
        <v>14830</v>
      </c>
      <c r="H213" s="324">
        <f t="shared" si="50"/>
        <v>0</v>
      </c>
      <c r="I213" s="322">
        <f t="shared" si="50"/>
        <v>0</v>
      </c>
      <c r="J213" s="323">
        <f t="shared" si="50"/>
        <v>22342</v>
      </c>
      <c r="K213" s="324">
        <f t="shared" si="50"/>
        <v>0</v>
      </c>
      <c r="L213" s="321">
        <f t="shared" si="50"/>
        <v>22342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200</v>
      </c>
      <c r="F216" s="297">
        <f t="shared" si="50"/>
        <v>0</v>
      </c>
      <c r="G216" s="298">
        <f t="shared" si="50"/>
        <v>200</v>
      </c>
      <c r="H216" s="299">
        <f t="shared" si="50"/>
        <v>0</v>
      </c>
      <c r="I216" s="297">
        <f t="shared" si="50"/>
        <v>0</v>
      </c>
      <c r="J216" s="298">
        <f t="shared" si="50"/>
        <v>117</v>
      </c>
      <c r="K216" s="299">
        <f t="shared" si="50"/>
        <v>0</v>
      </c>
      <c r="L216" s="296">
        <f t="shared" si="50"/>
        <v>117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275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731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220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222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223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224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1673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225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237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238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239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240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1678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1675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1676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250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276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251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252</v>
      </c>
      <c r="D278" s="1772"/>
      <c r="E278" s="311">
        <f t="shared" si="70"/>
        <v>356603</v>
      </c>
      <c r="F278" s="275">
        <f t="shared" si="70"/>
        <v>0</v>
      </c>
      <c r="G278" s="276">
        <f t="shared" si="70"/>
        <v>356603</v>
      </c>
      <c r="H278" s="277">
        <f t="shared" si="70"/>
        <v>0</v>
      </c>
      <c r="I278" s="275">
        <f t="shared" si="70"/>
        <v>0</v>
      </c>
      <c r="J278" s="276">
        <f t="shared" si="70"/>
        <v>249556</v>
      </c>
      <c r="K278" s="277">
        <f t="shared" si="70"/>
        <v>0</v>
      </c>
      <c r="L278" s="311">
        <f t="shared" si="70"/>
        <v>249556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137532</v>
      </c>
      <c r="F282" s="297">
        <f t="shared" si="71"/>
        <v>0</v>
      </c>
      <c r="G282" s="298">
        <f t="shared" si="71"/>
        <v>137532</v>
      </c>
      <c r="H282" s="299">
        <f t="shared" si="71"/>
        <v>0</v>
      </c>
      <c r="I282" s="297">
        <f t="shared" si="71"/>
        <v>0</v>
      </c>
      <c r="J282" s="298">
        <f t="shared" si="71"/>
        <v>237532</v>
      </c>
      <c r="K282" s="299">
        <f t="shared" si="71"/>
        <v>0</v>
      </c>
      <c r="L282" s="296">
        <f t="shared" si="71"/>
        <v>237532</v>
      </c>
      <c r="M282" s="7">
        <f t="shared" si="63"/>
        <v>1</v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219071</v>
      </c>
      <c r="F284" s="297">
        <f t="shared" si="71"/>
        <v>0</v>
      </c>
      <c r="G284" s="298">
        <f t="shared" si="71"/>
        <v>219071</v>
      </c>
      <c r="H284" s="299">
        <f t="shared" si="71"/>
        <v>0</v>
      </c>
      <c r="I284" s="297">
        <f t="shared" si="71"/>
        <v>0</v>
      </c>
      <c r="J284" s="298">
        <f t="shared" si="71"/>
        <v>12024</v>
      </c>
      <c r="K284" s="299">
        <f t="shared" si="71"/>
        <v>0</v>
      </c>
      <c r="L284" s="296">
        <f t="shared" si="71"/>
        <v>12024</v>
      </c>
      <c r="M284" s="7">
        <f t="shared" si="63"/>
        <v>1</v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632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694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695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925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703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385948</v>
      </c>
      <c r="F303" s="397">
        <f t="shared" si="79"/>
        <v>0</v>
      </c>
      <c r="G303" s="398">
        <f t="shared" si="79"/>
        <v>385948</v>
      </c>
      <c r="H303" s="399">
        <f t="shared" si="79"/>
        <v>0</v>
      </c>
      <c r="I303" s="397">
        <f t="shared" si="79"/>
        <v>0</v>
      </c>
      <c r="J303" s="398">
        <f t="shared" si="79"/>
        <v>279780</v>
      </c>
      <c r="K303" s="399">
        <f t="shared" si="79"/>
        <v>0</v>
      </c>
      <c r="L303" s="396">
        <f t="shared" si="79"/>
        <v>279780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49"/>
      <c r="C308" s="1844"/>
      <c r="D308" s="184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3"/>
      <c r="C310" s="1844"/>
      <c r="D310" s="184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3"/>
      <c r="C313" s="1844"/>
      <c r="D313" s="184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5"/>
      <c r="C346" s="1845"/>
      <c r="D346" s="1845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8" t="str">
        <f>$B$7</f>
        <v>ОТЧЕТНИ ДАННИ ПО ЕБК ЗА СМЕТКИТЕ ЗА СРЕДСТВАТА ОТ ЕВРОПЕЙСКИЯ СЪЮЗ - ДЕС</v>
      </c>
      <c r="C350" s="1848"/>
      <c r="D350" s="1848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Сунгурларе</v>
      </c>
      <c r="C352" s="1790"/>
      <c r="D352" s="1791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8" t="str">
        <f>$B$12</f>
        <v>Сунгурларе</v>
      </c>
      <c r="C355" s="1839"/>
      <c r="D355" s="184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5" t="s">
        <v>2038</v>
      </c>
      <c r="F359" s="1866"/>
      <c r="G359" s="1866"/>
      <c r="H359" s="1867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6" t="s">
        <v>279</v>
      </c>
      <c r="D363" s="1847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5" t="s">
        <v>290</v>
      </c>
      <c r="D377" s="1816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5" t="s">
        <v>312</v>
      </c>
      <c r="D385" s="1816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5" t="s">
        <v>256</v>
      </c>
      <c r="D390" s="1816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5" t="s">
        <v>257</v>
      </c>
      <c r="D393" s="1816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5" t="s">
        <v>259</v>
      </c>
      <c r="D398" s="1816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5" t="s">
        <v>260</v>
      </c>
      <c r="D401" s="1816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5" t="s">
        <v>934</v>
      </c>
      <c r="D404" s="1816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5" t="s">
        <v>689</v>
      </c>
      <c r="D407" s="1816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5" t="s">
        <v>690</v>
      </c>
      <c r="D408" s="1816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5" t="s">
        <v>708</v>
      </c>
      <c r="D411" s="1816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5" t="s">
        <v>263</v>
      </c>
      <c r="D414" s="1816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5" t="s">
        <v>776</v>
      </c>
      <c r="D424" s="1816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5" t="s">
        <v>713</v>
      </c>
      <c r="D425" s="1816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5" t="s">
        <v>264</v>
      </c>
      <c r="D426" s="1816"/>
      <c r="E426" s="1380">
        <f>F426+G426+H426</f>
        <v>220000</v>
      </c>
      <c r="F426" s="485"/>
      <c r="G426" s="486">
        <v>220000</v>
      </c>
      <c r="H426" s="1477">
        <v>0</v>
      </c>
      <c r="I426" s="485"/>
      <c r="J426" s="486">
        <v>221686</v>
      </c>
      <c r="K426" s="1477">
        <v>0</v>
      </c>
      <c r="L426" s="1380">
        <f>I426+J426+K426</f>
        <v>221686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15" t="s">
        <v>692</v>
      </c>
      <c r="D427" s="1816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5" t="s">
        <v>938</v>
      </c>
      <c r="D428" s="1816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220000</v>
      </c>
      <c r="F431" s="515">
        <f t="shared" si="100"/>
        <v>0</v>
      </c>
      <c r="G431" s="516">
        <f t="shared" si="100"/>
        <v>220000</v>
      </c>
      <c r="H431" s="517">
        <f>SUM(H424,H425,H426,H427,H428)</f>
        <v>0</v>
      </c>
      <c r="I431" s="515">
        <f t="shared" si="100"/>
        <v>0</v>
      </c>
      <c r="J431" s="516">
        <f t="shared" si="100"/>
        <v>221686</v>
      </c>
      <c r="K431" s="517">
        <f t="shared" si="100"/>
        <v>0</v>
      </c>
      <c r="L431" s="514">
        <f t="shared" si="100"/>
        <v>221686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1" t="str">
        <f>$B$7</f>
        <v>ОТЧЕТНИ ДАННИ ПО ЕБК ЗА СМЕТКИТЕ ЗА СРЕДСТВАТА ОТ ЕВРОПЕЙСКИЯ СЪЮЗ - ДЕС</v>
      </c>
      <c r="C435" s="1842"/>
      <c r="D435" s="184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Сунгурларе</v>
      </c>
      <c r="C437" s="1790"/>
      <c r="D437" s="1791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38" t="str">
        <f>$B$12</f>
        <v>Сунгурларе</v>
      </c>
      <c r="C440" s="1839"/>
      <c r="D440" s="184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2040</v>
      </c>
      <c r="F444" s="1796"/>
      <c r="G444" s="1796"/>
      <c r="H444" s="1797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-13948</v>
      </c>
      <c r="F447" s="548">
        <f t="shared" si="103"/>
        <v>0</v>
      </c>
      <c r="G447" s="549">
        <f t="shared" si="103"/>
        <v>-13948</v>
      </c>
      <c r="H447" s="550">
        <f>+H170-H303+H421+H431</f>
        <v>0</v>
      </c>
      <c r="I447" s="548">
        <f t="shared" si="103"/>
        <v>0</v>
      </c>
      <c r="J447" s="549">
        <f t="shared" si="103"/>
        <v>-13948</v>
      </c>
      <c r="K447" s="550">
        <f t="shared" si="103"/>
        <v>0</v>
      </c>
      <c r="L447" s="551">
        <f t="shared" si="103"/>
        <v>-13948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13948</v>
      </c>
      <c r="F448" s="555">
        <f t="shared" si="104"/>
        <v>0</v>
      </c>
      <c r="G448" s="556">
        <f t="shared" si="104"/>
        <v>13948</v>
      </c>
      <c r="H448" s="557">
        <f t="shared" si="104"/>
        <v>0</v>
      </c>
      <c r="I448" s="555">
        <f t="shared" si="104"/>
        <v>0</v>
      </c>
      <c r="J448" s="556">
        <f t="shared" si="104"/>
        <v>13948</v>
      </c>
      <c r="K448" s="557">
        <f t="shared" si="104"/>
        <v>0</v>
      </c>
      <c r="L448" s="558">
        <f>+L599</f>
        <v>13948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ДЕС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Сунгурларе</v>
      </c>
      <c r="C453" s="1790"/>
      <c r="D453" s="1791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38" t="str">
        <f>$B$12</f>
        <v>Сунгурларе</v>
      </c>
      <c r="C456" s="1839"/>
      <c r="D456" s="184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9" t="s">
        <v>2042</v>
      </c>
      <c r="F460" s="1860"/>
      <c r="G460" s="1860"/>
      <c r="H460" s="1861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0" t="s">
        <v>777</v>
      </c>
      <c r="D463" s="1831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5" t="s">
        <v>780</v>
      </c>
      <c r="D467" s="1825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5" t="s">
        <v>2013</v>
      </c>
      <c r="D470" s="1825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0" t="s">
        <v>783</v>
      </c>
      <c r="D473" s="1831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6" t="s">
        <v>790</v>
      </c>
      <c r="D480" s="1827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28" t="s">
        <v>942</v>
      </c>
      <c r="D483" s="182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3" t="s">
        <v>947</v>
      </c>
      <c r="D499" s="182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3" t="s">
        <v>24</v>
      </c>
      <c r="D504" s="182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2" t="s">
        <v>948</v>
      </c>
      <c r="D505" s="1832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28" t="s">
        <v>33</v>
      </c>
      <c r="D514" s="182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28" t="s">
        <v>37</v>
      </c>
      <c r="D518" s="182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28" t="s">
        <v>949</v>
      </c>
      <c r="D523" s="1834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3" t="s">
        <v>950</v>
      </c>
      <c r="D526" s="1824"/>
      <c r="E526" s="580">
        <f aca="true" t="shared" si="125" ref="E526:L526">SUM(E527:E532)</f>
        <v>13948</v>
      </c>
      <c r="F526" s="589">
        <f t="shared" si="125"/>
        <v>0</v>
      </c>
      <c r="G526" s="582">
        <f t="shared" si="125"/>
        <v>13948</v>
      </c>
      <c r="H526" s="583">
        <f>SUM(H527:H532)</f>
        <v>0</v>
      </c>
      <c r="I526" s="589">
        <f t="shared" si="125"/>
        <v>0</v>
      </c>
      <c r="J526" s="582">
        <f t="shared" si="125"/>
        <v>13948</v>
      </c>
      <c r="K526" s="583">
        <f t="shared" si="125"/>
        <v>0</v>
      </c>
      <c r="L526" s="580">
        <f t="shared" si="125"/>
        <v>13948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13948</v>
      </c>
      <c r="F529" s="158"/>
      <c r="G529" s="159">
        <v>13948</v>
      </c>
      <c r="H529" s="587">
        <v>0</v>
      </c>
      <c r="I529" s="158"/>
      <c r="J529" s="159">
        <v>13948</v>
      </c>
      <c r="K529" s="587">
        <v>0</v>
      </c>
      <c r="L529" s="1389">
        <f t="shared" si="121"/>
        <v>13948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28" t="s">
        <v>952</v>
      </c>
      <c r="D537" s="182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3" t="s">
        <v>953</v>
      </c>
      <c r="D538" s="1833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5" t="s">
        <v>954</v>
      </c>
      <c r="D543" s="182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28" t="s">
        <v>955</v>
      </c>
      <c r="D546" s="182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5" t="s">
        <v>964</v>
      </c>
      <c r="D568" s="1835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5" t="s">
        <v>969</v>
      </c>
      <c r="D588" s="182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5" t="s">
        <v>842</v>
      </c>
      <c r="D593" s="182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13948</v>
      </c>
      <c r="F599" s="665">
        <f t="shared" si="138"/>
        <v>0</v>
      </c>
      <c r="G599" s="666">
        <f t="shared" si="138"/>
        <v>13948</v>
      </c>
      <c r="H599" s="667">
        <f t="shared" si="138"/>
        <v>0</v>
      </c>
      <c r="I599" s="665">
        <f t="shared" si="138"/>
        <v>0</v>
      </c>
      <c r="J599" s="666">
        <f t="shared" si="138"/>
        <v>13948</v>
      </c>
      <c r="K599" s="668">
        <f t="shared" si="138"/>
        <v>0</v>
      </c>
      <c r="L599" s="664">
        <f t="shared" si="138"/>
        <v>13948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17" t="s">
        <v>2075</v>
      </c>
      <c r="H602" s="1818"/>
      <c r="I602" s="1818"/>
      <c r="J602" s="1819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5" t="s">
        <v>887</v>
      </c>
      <c r="H603" s="1805"/>
      <c r="I603" s="1805"/>
      <c r="J603" s="180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20" t="s">
        <v>2076</v>
      </c>
      <c r="H605" s="1821"/>
      <c r="I605" s="1821"/>
      <c r="J605" s="1822"/>
      <c r="K605" s="103"/>
      <c r="L605" s="229"/>
      <c r="M605" s="7">
        <v>1</v>
      </c>
      <c r="N605" s="520"/>
    </row>
    <row r="606" spans="1:14" ht="21.75" customHeight="1">
      <c r="A606" s="23"/>
      <c r="B606" s="1803" t="s">
        <v>890</v>
      </c>
      <c r="C606" s="1804"/>
      <c r="D606" s="674" t="s">
        <v>891</v>
      </c>
      <c r="E606" s="675"/>
      <c r="F606" s="676"/>
      <c r="G606" s="1805" t="s">
        <v>887</v>
      </c>
      <c r="H606" s="1805"/>
      <c r="I606" s="1805"/>
      <c r="J606" s="1805"/>
      <c r="K606" s="103"/>
      <c r="L606" s="229"/>
      <c r="M606" s="7">
        <v>1</v>
      </c>
      <c r="N606" s="520"/>
    </row>
    <row r="607" spans="1:14" ht="24.75" customHeight="1">
      <c r="A607" s="36"/>
      <c r="B607" s="1806" t="s">
        <v>2078</v>
      </c>
      <c r="C607" s="1807"/>
      <c r="D607" s="677" t="s">
        <v>892</v>
      </c>
      <c r="E607" s="678">
        <v>55715085</v>
      </c>
      <c r="F607" s="679"/>
      <c r="G607" s="680" t="s">
        <v>893</v>
      </c>
      <c r="H607" s="1808" t="s">
        <v>2077</v>
      </c>
      <c r="I607" s="1809"/>
      <c r="J607" s="181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08"/>
      <c r="I609" s="1809"/>
      <c r="J609" s="181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ДЕС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Сунгурларе</v>
      </c>
      <c r="C616" s="1790"/>
      <c r="D616" s="1791"/>
      <c r="E616" s="115">
        <f>$E$9</f>
        <v>43101</v>
      </c>
      <c r="F616" s="227">
        <f>$F$9</f>
        <v>43465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Сунгурларе</v>
      </c>
      <c r="C619" s="1793"/>
      <c r="D619" s="1794"/>
      <c r="E619" s="411" t="s">
        <v>900</v>
      </c>
      <c r="F619" s="1362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5" t="s">
        <v>2046</v>
      </c>
      <c r="F623" s="1796"/>
      <c r="G623" s="1796"/>
      <c r="H623" s="1797"/>
      <c r="I623" s="1798" t="s">
        <v>2047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8829</v>
      </c>
      <c r="D628" s="1454" t="s">
        <v>115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753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756</v>
      </c>
      <c r="D633" s="1782"/>
      <c r="E633" s="274">
        <f aca="true" t="shared" si="141" ref="E633:L633">SUM(E634:E638)</f>
        <v>10800</v>
      </c>
      <c r="F633" s="275">
        <f t="shared" si="141"/>
        <v>0</v>
      </c>
      <c r="G633" s="276">
        <f t="shared" si="141"/>
        <v>10800</v>
      </c>
      <c r="H633" s="277">
        <f>SUM(H634:H638)</f>
        <v>0</v>
      </c>
      <c r="I633" s="275">
        <f t="shared" si="141"/>
        <v>0</v>
      </c>
      <c r="J633" s="276">
        <f t="shared" si="141"/>
        <v>6941</v>
      </c>
      <c r="K633" s="277">
        <f t="shared" si="141"/>
        <v>0</v>
      </c>
      <c r="L633" s="274">
        <f t="shared" si="141"/>
        <v>6941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10800</v>
      </c>
      <c r="F635" s="158"/>
      <c r="G635" s="159">
        <v>10800</v>
      </c>
      <c r="H635" s="1422"/>
      <c r="I635" s="158"/>
      <c r="J635" s="159">
        <v>6941</v>
      </c>
      <c r="K635" s="1422"/>
      <c r="L635" s="296">
        <f>I635+J635+K635</f>
        <v>6941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195</v>
      </c>
      <c r="D639" s="1784"/>
      <c r="E639" s="274">
        <f aca="true" t="shared" si="142" ref="E639:L639">SUM(E640:E646)</f>
        <v>1815</v>
      </c>
      <c r="F639" s="275">
        <f t="shared" si="142"/>
        <v>0</v>
      </c>
      <c r="G639" s="276">
        <f t="shared" si="142"/>
        <v>1815</v>
      </c>
      <c r="H639" s="277">
        <f>SUM(H640:H646)</f>
        <v>0</v>
      </c>
      <c r="I639" s="275">
        <f t="shared" si="142"/>
        <v>0</v>
      </c>
      <c r="J639" s="276">
        <f t="shared" si="142"/>
        <v>824</v>
      </c>
      <c r="K639" s="277">
        <f t="shared" si="142"/>
        <v>0</v>
      </c>
      <c r="L639" s="274">
        <f t="shared" si="142"/>
        <v>824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985</v>
      </c>
      <c r="F640" s="152"/>
      <c r="G640" s="153">
        <v>985</v>
      </c>
      <c r="H640" s="1420"/>
      <c r="I640" s="152"/>
      <c r="J640" s="153">
        <v>428</v>
      </c>
      <c r="K640" s="1420"/>
      <c r="L640" s="282">
        <f aca="true" t="shared" si="144" ref="L640:L647">I640+J640+K640</f>
        <v>428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520</v>
      </c>
      <c r="F643" s="158"/>
      <c r="G643" s="159">
        <v>520</v>
      </c>
      <c r="H643" s="1422"/>
      <c r="I643" s="158"/>
      <c r="J643" s="159">
        <v>250</v>
      </c>
      <c r="K643" s="1422"/>
      <c r="L643" s="296">
        <f t="shared" si="144"/>
        <v>250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310</v>
      </c>
      <c r="F644" s="158"/>
      <c r="G644" s="159">
        <v>310</v>
      </c>
      <c r="H644" s="1422"/>
      <c r="I644" s="158"/>
      <c r="J644" s="159">
        <v>146</v>
      </c>
      <c r="K644" s="1422"/>
      <c r="L644" s="296">
        <f t="shared" si="144"/>
        <v>146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200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201</v>
      </c>
      <c r="D648" s="1782"/>
      <c r="E648" s="311">
        <f aca="true" t="shared" si="145" ref="E648:L648">SUM(E649:E665)</f>
        <v>16730</v>
      </c>
      <c r="F648" s="275">
        <f t="shared" si="145"/>
        <v>0</v>
      </c>
      <c r="G648" s="276">
        <f t="shared" si="145"/>
        <v>16730</v>
      </c>
      <c r="H648" s="277">
        <f>SUM(H649:H665)</f>
        <v>0</v>
      </c>
      <c r="I648" s="275">
        <f t="shared" si="145"/>
        <v>0</v>
      </c>
      <c r="J648" s="276">
        <f t="shared" si="145"/>
        <v>22459</v>
      </c>
      <c r="K648" s="277">
        <f t="shared" si="145"/>
        <v>0</v>
      </c>
      <c r="L648" s="311">
        <f t="shared" si="145"/>
        <v>22459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1700</v>
      </c>
      <c r="F653" s="158"/>
      <c r="G653" s="159">
        <v>1700</v>
      </c>
      <c r="H653" s="1422"/>
      <c r="I653" s="158"/>
      <c r="J653" s="159"/>
      <c r="K653" s="1422"/>
      <c r="L653" s="296">
        <f t="shared" si="147"/>
        <v>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14830</v>
      </c>
      <c r="F655" s="455"/>
      <c r="G655" s="456">
        <v>14830</v>
      </c>
      <c r="H655" s="1430"/>
      <c r="I655" s="455"/>
      <c r="J655" s="456">
        <v>22342</v>
      </c>
      <c r="K655" s="1430"/>
      <c r="L655" s="321">
        <f t="shared" si="147"/>
        <v>22342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200</v>
      </c>
      <c r="F658" s="158"/>
      <c r="G658" s="159">
        <v>200</v>
      </c>
      <c r="H658" s="1422"/>
      <c r="I658" s="158"/>
      <c r="J658" s="159">
        <v>117</v>
      </c>
      <c r="K658" s="1422"/>
      <c r="L658" s="296">
        <f t="shared" si="147"/>
        <v>117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275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731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220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222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223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224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1677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225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237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238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239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240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1678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1675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1676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250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276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251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252</v>
      </c>
      <c r="D720" s="1772"/>
      <c r="E720" s="311">
        <f aca="true" t="shared" si="167" ref="E720:L720">SUM(E721:E727)</f>
        <v>356603</v>
      </c>
      <c r="F720" s="275">
        <f t="shared" si="167"/>
        <v>0</v>
      </c>
      <c r="G720" s="276">
        <f t="shared" si="167"/>
        <v>356603</v>
      </c>
      <c r="H720" s="277">
        <f>SUM(H721:H727)</f>
        <v>0</v>
      </c>
      <c r="I720" s="275">
        <f t="shared" si="167"/>
        <v>0</v>
      </c>
      <c r="J720" s="276">
        <f t="shared" si="167"/>
        <v>249556</v>
      </c>
      <c r="K720" s="277">
        <f t="shared" si="167"/>
        <v>0</v>
      </c>
      <c r="L720" s="311">
        <f t="shared" si="167"/>
        <v>249556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137532</v>
      </c>
      <c r="F724" s="158"/>
      <c r="G724" s="159">
        <v>137532</v>
      </c>
      <c r="H724" s="1422"/>
      <c r="I724" s="158"/>
      <c r="J724" s="159">
        <v>237532</v>
      </c>
      <c r="K724" s="1422"/>
      <c r="L724" s="296">
        <f t="shared" si="169"/>
        <v>237532</v>
      </c>
      <c r="M724" s="12">
        <f t="shared" si="159"/>
        <v>1</v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219071</v>
      </c>
      <c r="F726" s="158"/>
      <c r="G726" s="159">
        <v>219071</v>
      </c>
      <c r="H726" s="1422"/>
      <c r="I726" s="158"/>
      <c r="J726" s="159">
        <v>12024</v>
      </c>
      <c r="K726" s="1422"/>
      <c r="L726" s="296">
        <f t="shared" si="169"/>
        <v>12024</v>
      </c>
      <c r="M726" s="12">
        <f t="shared" si="159"/>
        <v>1</v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632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694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695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925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703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703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385948</v>
      </c>
      <c r="F746" s="397">
        <f t="shared" si="173"/>
        <v>0</v>
      </c>
      <c r="G746" s="398">
        <f t="shared" si="173"/>
        <v>385948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279780</v>
      </c>
      <c r="K746" s="399">
        <f t="shared" si="173"/>
        <v>0</v>
      </c>
      <c r="L746" s="396">
        <f t="shared" si="173"/>
        <v>279780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5" t="s">
        <v>2046</v>
      </c>
      <c r="M23" s="1796"/>
      <c r="N23" s="1796"/>
      <c r="O23" s="1797"/>
      <c r="P23" s="1798" t="s">
        <v>2047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753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195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200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201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275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731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220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222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223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224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1677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225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237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238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239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240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1678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1675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1676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250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276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251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252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632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694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695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925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703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703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2019-01-11T11:12:38Z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